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395" yWindow="525" windowWidth="12000" windowHeight="5505"/>
  </bookViews>
  <sheets>
    <sheet name="Marco de Resultados" sheetId="1" r:id="rId1"/>
    <sheet name="Presupuesto" sheetId="2" r:id="rId2"/>
    <sheet name="AWP " sheetId="4" r:id="rId3"/>
    <sheet name="Resumen" sheetId="6" r:id="rId4"/>
    <sheet name="PNUD" sheetId="5" state="hidden" r:id="rId5"/>
  </sheets>
  <definedNames>
    <definedName name="_xlnm.Print_Area" localSheetId="0">'Marco de Resultados'!$A$1:$M$85</definedName>
    <definedName name="_xlnm.Print_Area" localSheetId="4">PNUD!$A$59:$B$82</definedName>
    <definedName name="_xlnm.Print_Area" localSheetId="3">Resumen!$A$1:$E$30</definedName>
  </definedNames>
  <calcPr calcId="145621"/>
</workbook>
</file>

<file path=xl/calcChain.xml><?xml version="1.0" encoding="utf-8"?>
<calcChain xmlns="http://schemas.openxmlformats.org/spreadsheetml/2006/main">
  <c r="C73" i="2" l="1"/>
  <c r="D73" i="2" s="1"/>
  <c r="C53" i="2"/>
  <c r="C18" i="6" s="1"/>
  <c r="B53" i="2"/>
  <c r="C47" i="2"/>
  <c r="C46" i="2" s="1"/>
  <c r="C15" i="6" s="1"/>
  <c r="B47" i="2"/>
  <c r="B46" i="2" s="1"/>
  <c r="B15" i="6" s="1"/>
  <c r="C43" i="2"/>
  <c r="C14" i="6" s="1"/>
  <c r="B43" i="2"/>
  <c r="B14" i="6" s="1"/>
  <c r="C39" i="2"/>
  <c r="C13" i="6" s="1"/>
  <c r="B39" i="2"/>
  <c r="B13" i="6" s="1"/>
  <c r="C34" i="2"/>
  <c r="C12" i="6" s="1"/>
  <c r="B34" i="2"/>
  <c r="B33" i="2" s="1"/>
  <c r="D33" i="2" s="1"/>
  <c r="D11" i="6" s="1"/>
  <c r="C33" i="2"/>
  <c r="C11" i="6" s="1"/>
  <c r="C32" i="2"/>
  <c r="F69" i="1"/>
  <c r="G52" i="1"/>
  <c r="F52" i="1"/>
  <c r="F51" i="1" s="1"/>
  <c r="G46" i="1"/>
  <c r="G45" i="1" s="1"/>
  <c r="F46" i="1"/>
  <c r="F45" i="1" s="1"/>
  <c r="G42" i="1"/>
  <c r="F42" i="1"/>
  <c r="G38" i="1"/>
  <c r="F38" i="1"/>
  <c r="G33" i="1"/>
  <c r="F33" i="1"/>
  <c r="G32" i="1"/>
  <c r="H52" i="1" l="1"/>
  <c r="B12" i="6"/>
  <c r="C16" i="6"/>
  <c r="B16" i="6"/>
  <c r="B11" i="6"/>
  <c r="B18" i="6"/>
  <c r="F32" i="1"/>
  <c r="H32" i="1"/>
  <c r="D67" i="2"/>
  <c r="D50" i="2"/>
  <c r="D45" i="2"/>
  <c r="D44" i="2"/>
  <c r="D43" i="2" s="1"/>
  <c r="D14" i="6" s="1"/>
  <c r="D32" i="2"/>
  <c r="J30" i="1"/>
  <c r="I71" i="4"/>
  <c r="I72" i="4"/>
  <c r="I73" i="4"/>
  <c r="I70" i="4"/>
  <c r="I69" i="4"/>
  <c r="L74" i="1"/>
  <c r="L75" i="1" s="1"/>
  <c r="K74" i="1"/>
  <c r="K75" i="1" s="1"/>
  <c r="K76" i="1" s="1"/>
  <c r="J10" i="1"/>
  <c r="G16" i="1"/>
  <c r="J74" i="1" l="1"/>
  <c r="J75" i="1" s="1"/>
  <c r="J76" i="1" s="1"/>
  <c r="L76" i="1"/>
  <c r="AA29" i="5" l="1"/>
  <c r="AO28" i="5"/>
  <c r="AP28" i="5" s="1"/>
  <c r="G27" i="1" s="1"/>
  <c r="C28" i="2" s="1"/>
  <c r="AF28" i="5"/>
  <c r="AA28" i="5"/>
  <c r="D53" i="4"/>
  <c r="E53" i="4"/>
  <c r="F53" i="4"/>
  <c r="G53" i="4"/>
  <c r="I53" i="4"/>
  <c r="C53" i="4"/>
  <c r="K57" i="4"/>
  <c r="J62" i="4"/>
  <c r="K62" i="4" s="1"/>
  <c r="J60" i="4"/>
  <c r="J59" i="4"/>
  <c r="K59" i="4" s="1"/>
  <c r="J58" i="4"/>
  <c r="K58" i="4" s="1"/>
  <c r="J57" i="4"/>
  <c r="J56" i="4"/>
  <c r="K56" i="4" s="1"/>
  <c r="J55" i="4"/>
  <c r="K55" i="4" s="1"/>
  <c r="J54" i="4"/>
  <c r="K54" i="4" s="1"/>
  <c r="D47" i="4"/>
  <c r="E47" i="4"/>
  <c r="G47" i="4"/>
  <c r="H47" i="4"/>
  <c r="I47" i="4"/>
  <c r="C47" i="4"/>
  <c r="F32" i="4"/>
  <c r="AF11" i="5"/>
  <c r="AS11" i="5"/>
  <c r="H31" i="4"/>
  <c r="I31" i="4"/>
  <c r="G31" i="4"/>
  <c r="J50" i="4"/>
  <c r="J51" i="4"/>
  <c r="K51" i="4" s="1"/>
  <c r="J52" i="4"/>
  <c r="J49" i="4"/>
  <c r="K49" i="4" s="1"/>
  <c r="J48" i="4"/>
  <c r="F50" i="4"/>
  <c r="F52" i="4"/>
  <c r="F51" i="4"/>
  <c r="F49" i="4"/>
  <c r="F48" i="4"/>
  <c r="F47" i="4" s="1"/>
  <c r="J34" i="4"/>
  <c r="J35" i="4"/>
  <c r="K35" i="4" s="1"/>
  <c r="J36" i="4"/>
  <c r="J37" i="4"/>
  <c r="K37" i="4" s="1"/>
  <c r="J38" i="4"/>
  <c r="J39" i="4"/>
  <c r="K39" i="4" s="1"/>
  <c r="J40" i="4"/>
  <c r="J41" i="4"/>
  <c r="J42" i="4"/>
  <c r="J43" i="4"/>
  <c r="J44" i="4"/>
  <c r="J45" i="4"/>
  <c r="J46" i="4"/>
  <c r="J33" i="4"/>
  <c r="J32" i="4"/>
  <c r="K32" i="4" s="1"/>
  <c r="F34" i="4"/>
  <c r="F35" i="4"/>
  <c r="F36" i="4"/>
  <c r="F37" i="4"/>
  <c r="F38" i="4"/>
  <c r="F39" i="4"/>
  <c r="F40" i="4"/>
  <c r="F41" i="4"/>
  <c r="F42" i="4"/>
  <c r="F43" i="4"/>
  <c r="F44" i="4"/>
  <c r="F45" i="4"/>
  <c r="F46" i="4"/>
  <c r="F33" i="4"/>
  <c r="D31" i="4"/>
  <c r="E31" i="4"/>
  <c r="C31" i="4"/>
  <c r="G5" i="4"/>
  <c r="I5" i="4"/>
  <c r="E5" i="4"/>
  <c r="C5" i="4"/>
  <c r="G64" i="4" l="1"/>
  <c r="K52" i="4"/>
  <c r="C64" i="4"/>
  <c r="K45" i="4"/>
  <c r="K41" i="4"/>
  <c r="K44" i="4"/>
  <c r="K40" i="4"/>
  <c r="K36" i="4"/>
  <c r="K48" i="4"/>
  <c r="K50" i="4"/>
  <c r="K47" i="4" s="1"/>
  <c r="E64" i="4"/>
  <c r="I64" i="4"/>
  <c r="K33" i="4"/>
  <c r="K42" i="4"/>
  <c r="K34" i="4"/>
  <c r="K60" i="4"/>
  <c r="J47" i="4"/>
  <c r="K43" i="4"/>
  <c r="J31" i="4"/>
  <c r="K38" i="4"/>
  <c r="K46" i="4"/>
  <c r="F31" i="4"/>
  <c r="AO27" i="5"/>
  <c r="AP23" i="5"/>
  <c r="G15" i="1"/>
  <c r="H15" i="1" s="1"/>
  <c r="AP16" i="5"/>
  <c r="C16" i="2" s="1"/>
  <c r="Y15" i="5"/>
  <c r="AF15" i="5"/>
  <c r="AG15" i="5"/>
  <c r="V28" i="5"/>
  <c r="B28" i="2"/>
  <c r="D28" i="2" s="1"/>
  <c r="B23" i="2"/>
  <c r="V16" i="5"/>
  <c r="B16" i="2" s="1"/>
  <c r="V15" i="5"/>
  <c r="B15" i="2"/>
  <c r="G69" i="4"/>
  <c r="E69" i="4"/>
  <c r="C69" i="4"/>
  <c r="A8" i="5"/>
  <c r="H72" i="1"/>
  <c r="H48" i="1"/>
  <c r="H49" i="1"/>
  <c r="H50" i="1"/>
  <c r="H47" i="1"/>
  <c r="H44" i="1"/>
  <c r="H43" i="1"/>
  <c r="H41" i="1"/>
  <c r="H40" i="1"/>
  <c r="H39" i="1"/>
  <c r="H35" i="1"/>
  <c r="H36" i="1"/>
  <c r="H37" i="1"/>
  <c r="H34" i="1"/>
  <c r="H31" i="1"/>
  <c r="H27" i="1"/>
  <c r="H42" i="1" l="1"/>
  <c r="H33" i="1"/>
  <c r="H38" i="1"/>
  <c r="H46" i="1"/>
  <c r="H45" i="1" s="1"/>
  <c r="AN15" i="5"/>
  <c r="AP15" i="5" s="1"/>
  <c r="D16" i="2"/>
  <c r="C23" i="2"/>
  <c r="D23" i="2" s="1"/>
  <c r="G22" i="1"/>
  <c r="H22" i="1" s="1"/>
  <c r="K31" i="4"/>
  <c r="C15" i="2" l="1"/>
  <c r="D15" i="2" s="1"/>
  <c r="G14" i="1"/>
  <c r="H14" i="1" s="1"/>
  <c r="AA34" i="5"/>
  <c r="AA33" i="5"/>
  <c r="AN45" i="5"/>
  <c r="AF29" i="5"/>
  <c r="AA42" i="5"/>
  <c r="AO29" i="5"/>
  <c r="AA37" i="5"/>
  <c r="AA35" i="5"/>
  <c r="AA36" i="5"/>
  <c r="AA18" i="5"/>
  <c r="AO18" i="5"/>
  <c r="AA19" i="5"/>
  <c r="AO19" i="5"/>
  <c r="AA17" i="5"/>
  <c r="AO17" i="5"/>
  <c r="AF14" i="5"/>
  <c r="AO13" i="5"/>
  <c r="AN13" i="5" s="1"/>
  <c r="AF13" i="5"/>
  <c r="AF12" i="5"/>
  <c r="AO12" i="5"/>
  <c r="AN12" i="5" s="1"/>
  <c r="AG11" i="5"/>
  <c r="AP10" i="5"/>
  <c r="T7" i="5"/>
  <c r="G7" i="5"/>
  <c r="Y11" i="5"/>
  <c r="E7" i="5"/>
  <c r="T45" i="5"/>
  <c r="Z37" i="5"/>
  <c r="F37" i="5"/>
  <c r="F30" i="5" l="1"/>
  <c r="Y35" i="5"/>
  <c r="AA44" i="5"/>
  <c r="AA30" i="5" s="1"/>
  <c r="G44" i="5"/>
  <c r="G30" i="5" s="1"/>
  <c r="AH41" i="5"/>
  <c r="N41" i="5"/>
  <c r="AH40" i="5"/>
  <c r="N40" i="5"/>
  <c r="AH39" i="5"/>
  <c r="N39" i="5"/>
  <c r="AH38" i="5"/>
  <c r="N38" i="5"/>
  <c r="X36" i="5"/>
  <c r="X30" i="5" s="1"/>
  <c r="Z34" i="5"/>
  <c r="Z33" i="5"/>
  <c r="AH32" i="5"/>
  <c r="N32" i="5"/>
  <c r="AP52" i="5"/>
  <c r="AP50" i="5"/>
  <c r="AP49" i="5"/>
  <c r="AP29" i="5"/>
  <c r="C29" i="2" s="1"/>
  <c r="G28" i="1" s="1"/>
  <c r="AP27" i="5"/>
  <c r="C27" i="2" s="1"/>
  <c r="G26" i="1" s="1"/>
  <c r="AP26" i="5"/>
  <c r="C26" i="2" s="1"/>
  <c r="AP24" i="5"/>
  <c r="C24" i="2" s="1"/>
  <c r="G23" i="1" s="1"/>
  <c r="AP22" i="5"/>
  <c r="C22" i="2" s="1"/>
  <c r="AP20" i="5"/>
  <c r="AP19" i="5"/>
  <c r="AP18" i="5"/>
  <c r="AP17" i="5"/>
  <c r="AP14" i="5"/>
  <c r="AP13" i="5"/>
  <c r="AP12" i="5"/>
  <c r="AP11" i="5"/>
  <c r="C11" i="2" s="1"/>
  <c r="AP9" i="5"/>
  <c r="B74" i="2"/>
  <c r="B72" i="2"/>
  <c r="B71" i="2"/>
  <c r="V29" i="5"/>
  <c r="V27" i="5"/>
  <c r="V26" i="5"/>
  <c r="V24" i="5"/>
  <c r="V22" i="5"/>
  <c r="V20" i="5"/>
  <c r="V19" i="5"/>
  <c r="V18" i="5"/>
  <c r="V17" i="5"/>
  <c r="V14" i="5"/>
  <c r="V13" i="5"/>
  <c r="V12" i="5"/>
  <c r="V11" i="5"/>
  <c r="V9" i="5"/>
  <c r="V7" i="5"/>
  <c r="AO48" i="5"/>
  <c r="AN48" i="5"/>
  <c r="AM48" i="5"/>
  <c r="AM47" i="5" s="1"/>
  <c r="AL48" i="5"/>
  <c r="AL47" i="5" s="1"/>
  <c r="AK48" i="5"/>
  <c r="AK47" i="5" s="1"/>
  <c r="AJ48" i="5"/>
  <c r="AJ47" i="5" s="1"/>
  <c r="AI48" i="5"/>
  <c r="AI47" i="5" s="1"/>
  <c r="AH48" i="5"/>
  <c r="AH47" i="5" s="1"/>
  <c r="AG48" i="5"/>
  <c r="AG47" i="5" s="1"/>
  <c r="AF48" i="5"/>
  <c r="AF47" i="5" s="1"/>
  <c r="AE48" i="5"/>
  <c r="AE47" i="5" s="1"/>
  <c r="AD48" i="5"/>
  <c r="AD47" i="5" s="1"/>
  <c r="AC48" i="5"/>
  <c r="AC47" i="5" s="1"/>
  <c r="AB48" i="5"/>
  <c r="AB47" i="5" s="1"/>
  <c r="AA48" i="5"/>
  <c r="AA47" i="5" s="1"/>
  <c r="Z48" i="5"/>
  <c r="Z47" i="5" s="1"/>
  <c r="Y48" i="5"/>
  <c r="Y47" i="5" s="1"/>
  <c r="X48" i="5"/>
  <c r="AO30" i="5"/>
  <c r="AN30" i="5"/>
  <c r="AM30" i="5"/>
  <c r="AL30" i="5"/>
  <c r="AK30" i="5"/>
  <c r="AJ30" i="5"/>
  <c r="AI30" i="5"/>
  <c r="AG30" i="5"/>
  <c r="AF30" i="5"/>
  <c r="AE30" i="5"/>
  <c r="AD30" i="5"/>
  <c r="AC30" i="5"/>
  <c r="AB30" i="5"/>
  <c r="Y30" i="5"/>
  <c r="AO25" i="5"/>
  <c r="H23" i="4" s="1"/>
  <c r="J23" i="4" s="1"/>
  <c r="AN25" i="5"/>
  <c r="H25" i="4" s="1"/>
  <c r="J25" i="4" s="1"/>
  <c r="AM25" i="5"/>
  <c r="AL25" i="5"/>
  <c r="AK25" i="5"/>
  <c r="AJ25" i="5"/>
  <c r="AI25" i="5"/>
  <c r="AH25" i="5"/>
  <c r="AG25" i="5"/>
  <c r="AF25" i="5"/>
  <c r="AE25" i="5"/>
  <c r="AD25" i="5"/>
  <c r="AC25" i="5"/>
  <c r="AB25" i="5"/>
  <c r="AA25" i="5"/>
  <c r="Z25" i="5"/>
  <c r="Y25" i="5"/>
  <c r="X25" i="5"/>
  <c r="AO21" i="5"/>
  <c r="H18" i="4" s="1"/>
  <c r="J18" i="4" s="1"/>
  <c r="AN21" i="5"/>
  <c r="H20" i="4" s="1"/>
  <c r="J20" i="4" s="1"/>
  <c r="AM21" i="5"/>
  <c r="AL21" i="5"/>
  <c r="AK21" i="5"/>
  <c r="AJ21" i="5"/>
  <c r="AI21" i="5"/>
  <c r="AH21" i="5"/>
  <c r="AG21" i="5"/>
  <c r="AF21" i="5"/>
  <c r="AE21" i="5"/>
  <c r="AD21" i="5"/>
  <c r="AC21" i="5"/>
  <c r="AB21" i="5"/>
  <c r="H19" i="4" s="1"/>
  <c r="J19" i="4" s="1"/>
  <c r="AA21" i="5"/>
  <c r="Z21" i="5"/>
  <c r="Y21" i="5"/>
  <c r="X21" i="5"/>
  <c r="H17" i="4" s="1"/>
  <c r="J17" i="4" s="1"/>
  <c r="AO8" i="5"/>
  <c r="H13" i="4" s="1"/>
  <c r="J13" i="4" s="1"/>
  <c r="AN8" i="5"/>
  <c r="H15" i="4" s="1"/>
  <c r="AM8" i="5"/>
  <c r="AL8" i="5"/>
  <c r="AK8" i="5"/>
  <c r="AJ8" i="5"/>
  <c r="AI8" i="5"/>
  <c r="AH8" i="5"/>
  <c r="AG8" i="5"/>
  <c r="AF8" i="5"/>
  <c r="AE8" i="5"/>
  <c r="AD8" i="5"/>
  <c r="AC8" i="5"/>
  <c r="AB8" i="5"/>
  <c r="AA8" i="5"/>
  <c r="Z8" i="5"/>
  <c r="Y8" i="5"/>
  <c r="X8" i="5"/>
  <c r="AO6" i="5"/>
  <c r="H8" i="4" s="1"/>
  <c r="J8" i="4" s="1"/>
  <c r="AN6" i="5"/>
  <c r="H10" i="4" s="1"/>
  <c r="J10" i="4" s="1"/>
  <c r="AM6" i="5"/>
  <c r="AL6" i="5"/>
  <c r="AK6" i="5"/>
  <c r="AJ6" i="5"/>
  <c r="AI6" i="5"/>
  <c r="AH6" i="5"/>
  <c r="AG6" i="5"/>
  <c r="AF6" i="5"/>
  <c r="AE6" i="5"/>
  <c r="AD6" i="5"/>
  <c r="AC6" i="5"/>
  <c r="AB6" i="5"/>
  <c r="H9" i="4" s="1"/>
  <c r="J9" i="4" s="1"/>
  <c r="AA6" i="5"/>
  <c r="Z6" i="5"/>
  <c r="Y6" i="5"/>
  <c r="X6" i="5"/>
  <c r="H7" i="4" s="1"/>
  <c r="J7" i="4" s="1"/>
  <c r="E48" i="5"/>
  <c r="F48" i="5"/>
  <c r="F47" i="5" s="1"/>
  <c r="G48" i="5"/>
  <c r="G47" i="5" s="1"/>
  <c r="H48" i="5"/>
  <c r="I48" i="5"/>
  <c r="J48" i="5"/>
  <c r="J47" i="5" s="1"/>
  <c r="K48" i="5"/>
  <c r="K47" i="5" s="1"/>
  <c r="L48" i="5"/>
  <c r="L47" i="5" s="1"/>
  <c r="M48" i="5"/>
  <c r="M47" i="5" s="1"/>
  <c r="N48" i="5"/>
  <c r="N47" i="5" s="1"/>
  <c r="O48" i="5"/>
  <c r="O47" i="5" s="1"/>
  <c r="P48" i="5"/>
  <c r="P47" i="5" s="1"/>
  <c r="Q48" i="5"/>
  <c r="Q47" i="5" s="1"/>
  <c r="R48" i="5"/>
  <c r="R47" i="5" s="1"/>
  <c r="S48" i="5"/>
  <c r="S47" i="5" s="1"/>
  <c r="T48" i="5"/>
  <c r="U48" i="5"/>
  <c r="E30" i="5"/>
  <c r="H30" i="5"/>
  <c r="I30" i="5"/>
  <c r="J30" i="5"/>
  <c r="K30" i="5"/>
  <c r="L30" i="5"/>
  <c r="M30" i="5"/>
  <c r="O30" i="5"/>
  <c r="P30" i="5"/>
  <c r="Q30" i="5"/>
  <c r="R30" i="5"/>
  <c r="S30" i="5"/>
  <c r="T30" i="5"/>
  <c r="D30" i="4" s="1"/>
  <c r="F30" i="4" s="1"/>
  <c r="U30" i="5"/>
  <c r="D28" i="4" s="1"/>
  <c r="F28" i="4" s="1"/>
  <c r="E25" i="5"/>
  <c r="F25" i="5"/>
  <c r="G25" i="5"/>
  <c r="H25" i="5"/>
  <c r="I25" i="5"/>
  <c r="J25" i="5"/>
  <c r="K25" i="5"/>
  <c r="L25" i="5"/>
  <c r="M25" i="5"/>
  <c r="N25" i="5"/>
  <c r="O25" i="5"/>
  <c r="P25" i="5"/>
  <c r="Q25" i="5"/>
  <c r="R25" i="5"/>
  <c r="S25" i="5"/>
  <c r="T25" i="5"/>
  <c r="D25" i="4" s="1"/>
  <c r="F25" i="4" s="1"/>
  <c r="U25" i="5"/>
  <c r="D23" i="4" s="1"/>
  <c r="F23" i="4" s="1"/>
  <c r="D48" i="5"/>
  <c r="D30" i="5"/>
  <c r="D25" i="5"/>
  <c r="D22" i="4" s="1"/>
  <c r="F22" i="4" s="1"/>
  <c r="E21" i="5"/>
  <c r="F21" i="5"/>
  <c r="G21" i="5"/>
  <c r="H21" i="5"/>
  <c r="D19" i="4" s="1"/>
  <c r="F19" i="4" s="1"/>
  <c r="K19" i="4" s="1"/>
  <c r="I21" i="5"/>
  <c r="J21" i="5"/>
  <c r="K21" i="5"/>
  <c r="L21" i="5"/>
  <c r="M21" i="5"/>
  <c r="N21" i="5"/>
  <c r="O21" i="5"/>
  <c r="P21" i="5"/>
  <c r="Q21" i="5"/>
  <c r="R21" i="5"/>
  <c r="S21" i="5"/>
  <c r="T21" i="5"/>
  <c r="D20" i="4" s="1"/>
  <c r="F20" i="4" s="1"/>
  <c r="U21" i="5"/>
  <c r="D18" i="4" s="1"/>
  <c r="F18" i="4" s="1"/>
  <c r="D21" i="5"/>
  <c r="D17" i="4" s="1"/>
  <c r="F17" i="4" s="1"/>
  <c r="U8" i="5"/>
  <c r="D13" i="4" s="1"/>
  <c r="F13" i="4" s="1"/>
  <c r="E8" i="5"/>
  <c r="F8" i="5"/>
  <c r="G8" i="5"/>
  <c r="H8" i="5"/>
  <c r="I8" i="5"/>
  <c r="J8" i="5"/>
  <c r="K8" i="5"/>
  <c r="L8" i="5"/>
  <c r="M8" i="5"/>
  <c r="N8" i="5"/>
  <c r="O8" i="5"/>
  <c r="P8" i="5"/>
  <c r="Q8" i="5"/>
  <c r="R8" i="5"/>
  <c r="S8" i="5"/>
  <c r="T8" i="5"/>
  <c r="D15" i="4" s="1"/>
  <c r="F15" i="4" s="1"/>
  <c r="E6" i="5"/>
  <c r="F6" i="5"/>
  <c r="G6" i="5"/>
  <c r="H6" i="5"/>
  <c r="I6" i="5"/>
  <c r="J6" i="5"/>
  <c r="K6" i="5"/>
  <c r="L6" i="5"/>
  <c r="M6" i="5"/>
  <c r="N6" i="5"/>
  <c r="O6" i="5"/>
  <c r="P6" i="5"/>
  <c r="Q6" i="5"/>
  <c r="R6" i="5"/>
  <c r="S6" i="5"/>
  <c r="T6" i="5"/>
  <c r="D10" i="4" s="1"/>
  <c r="F10" i="4" s="1"/>
  <c r="U6" i="5"/>
  <c r="D8" i="4" s="1"/>
  <c r="F8" i="4" s="1"/>
  <c r="K8" i="4" s="1"/>
  <c r="D6" i="5"/>
  <c r="B64" i="5"/>
  <c r="B66" i="5" s="1"/>
  <c r="B67" i="5" s="1"/>
  <c r="B63" i="5"/>
  <c r="D8" i="5"/>
  <c r="D12" i="4" s="1"/>
  <c r="F12" i="4" s="1"/>
  <c r="C70" i="4"/>
  <c r="E70" i="4"/>
  <c r="G70" i="4"/>
  <c r="C71" i="4"/>
  <c r="E71" i="4"/>
  <c r="G71" i="4"/>
  <c r="C72" i="4"/>
  <c r="E72" i="4"/>
  <c r="G72" i="4"/>
  <c r="C73" i="4"/>
  <c r="E73" i="4"/>
  <c r="G73" i="4"/>
  <c r="D55" i="2"/>
  <c r="D56" i="2"/>
  <c r="D58" i="2"/>
  <c r="D64" i="2"/>
  <c r="D54" i="2"/>
  <c r="D49" i="2"/>
  <c r="D51" i="2"/>
  <c r="D48" i="2"/>
  <c r="D41" i="2"/>
  <c r="D42" i="2"/>
  <c r="D40" i="2"/>
  <c r="D39" i="2" s="1"/>
  <c r="D13" i="6" s="1"/>
  <c r="D36" i="2"/>
  <c r="D38" i="2"/>
  <c r="D35" i="2"/>
  <c r="D34" i="2" l="1"/>
  <c r="D12" i="6" s="1"/>
  <c r="K18" i="4"/>
  <c r="G25" i="1"/>
  <c r="G24" i="1" s="1"/>
  <c r="C25" i="2"/>
  <c r="C9" i="6" s="1"/>
  <c r="G21" i="1"/>
  <c r="G20" i="1" s="1"/>
  <c r="C21" i="2"/>
  <c r="C8" i="6" s="1"/>
  <c r="D47" i="2"/>
  <c r="D6" i="4"/>
  <c r="D11" i="4"/>
  <c r="F11" i="4" s="1"/>
  <c r="K17" i="4"/>
  <c r="H14" i="4"/>
  <c r="J14" i="4" s="1"/>
  <c r="K25" i="4"/>
  <c r="F13" i="1"/>
  <c r="B14" i="2"/>
  <c r="B20" i="2"/>
  <c r="F19" i="1" s="1"/>
  <c r="H19" i="1" s="1"/>
  <c r="B27" i="2"/>
  <c r="F26" i="1" s="1"/>
  <c r="H26" i="1" s="1"/>
  <c r="C19" i="2"/>
  <c r="G18" i="1"/>
  <c r="G71" i="1"/>
  <c r="D7" i="4"/>
  <c r="F7" i="4" s="1"/>
  <c r="K7" i="4" s="1"/>
  <c r="D16" i="4"/>
  <c r="F16" i="4" s="1"/>
  <c r="D21" i="4"/>
  <c r="F21" i="4" s="1"/>
  <c r="H12" i="4"/>
  <c r="J12" i="4" s="1"/>
  <c r="K12" i="4" s="1"/>
  <c r="K23" i="4"/>
  <c r="AN47" i="5"/>
  <c r="H63" i="4"/>
  <c r="J63" i="4" s="1"/>
  <c r="K63" i="4" s="1"/>
  <c r="F10" i="1"/>
  <c r="B11" i="2"/>
  <c r="D11" i="2" s="1"/>
  <c r="B17" i="2"/>
  <c r="F16" i="1" s="1"/>
  <c r="B22" i="2"/>
  <c r="F21" i="1" s="1"/>
  <c r="B29" i="2"/>
  <c r="D29" i="2" s="1"/>
  <c r="C20" i="2"/>
  <c r="G19" i="1"/>
  <c r="G73" i="1"/>
  <c r="K20" i="4"/>
  <c r="H30" i="4"/>
  <c r="J30" i="4" s="1"/>
  <c r="K30" i="4" s="1"/>
  <c r="AO47" i="5"/>
  <c r="H61" i="4"/>
  <c r="F11" i="1"/>
  <c r="B12" i="2"/>
  <c r="B18" i="2"/>
  <c r="F17" i="1" s="1"/>
  <c r="B24" i="2"/>
  <c r="F23" i="1" s="1"/>
  <c r="H23" i="1" s="1"/>
  <c r="K10" i="4"/>
  <c r="D9" i="4"/>
  <c r="F9" i="4" s="1"/>
  <c r="K9" i="4" s="1"/>
  <c r="D14" i="4"/>
  <c r="F14" i="4" s="1"/>
  <c r="H6" i="4"/>
  <c r="J6" i="4" s="1"/>
  <c r="C8" i="2" s="1"/>
  <c r="C7" i="2" s="1"/>
  <c r="H16" i="4"/>
  <c r="J16" i="4" s="1"/>
  <c r="H22" i="4"/>
  <c r="J22" i="4" s="1"/>
  <c r="K22" i="4" s="1"/>
  <c r="H29" i="4"/>
  <c r="J29" i="4" s="1"/>
  <c r="H28" i="4"/>
  <c r="J28" i="4" s="1"/>
  <c r="K28" i="4" s="1"/>
  <c r="F12" i="1"/>
  <c r="B13" i="2"/>
  <c r="B19" i="2"/>
  <c r="F18" i="1" s="1"/>
  <c r="B26" i="2"/>
  <c r="G17" i="1"/>
  <c r="G70" i="1"/>
  <c r="AT11" i="5"/>
  <c r="G10" i="1"/>
  <c r="H24" i="4"/>
  <c r="J24" i="4" s="1"/>
  <c r="H21" i="4"/>
  <c r="J21" i="4" s="1"/>
  <c r="K21" i="4" s="1"/>
  <c r="J15" i="4"/>
  <c r="K15" i="4" s="1"/>
  <c r="C74" i="4"/>
  <c r="G74" i="4"/>
  <c r="C82" i="4" s="1"/>
  <c r="I74" i="4"/>
  <c r="I75" i="4" s="1"/>
  <c r="I76" i="4" s="1"/>
  <c r="K13" i="4"/>
  <c r="E74" i="4"/>
  <c r="H11" i="4"/>
  <c r="J11" i="4" s="1"/>
  <c r="D24" i="4"/>
  <c r="F24" i="4" s="1"/>
  <c r="D29" i="4"/>
  <c r="F29" i="4" s="1"/>
  <c r="D27" i="4"/>
  <c r="F27" i="4" s="1"/>
  <c r="C13" i="2"/>
  <c r="G12" i="1"/>
  <c r="H12" i="1" s="1"/>
  <c r="C14" i="2"/>
  <c r="G13" i="1"/>
  <c r="H13" i="1" s="1"/>
  <c r="C12" i="2"/>
  <c r="G11" i="1"/>
  <c r="H11" i="1" s="1"/>
  <c r="D53" i="2"/>
  <c r="D18" i="6" s="1"/>
  <c r="N30" i="5"/>
  <c r="D26" i="4" s="1"/>
  <c r="Z30" i="5"/>
  <c r="AH30" i="5"/>
  <c r="H26" i="4" s="1"/>
  <c r="Y5" i="5"/>
  <c r="Y53" i="5" s="1"/>
  <c r="Y54" i="5" s="1"/>
  <c r="Y55" i="5" s="1"/>
  <c r="D19" i="2"/>
  <c r="AO5" i="5"/>
  <c r="AO53" i="5" s="1"/>
  <c r="AO54" i="5" s="1"/>
  <c r="AO55" i="5" s="1"/>
  <c r="R5" i="5"/>
  <c r="R53" i="5" s="1"/>
  <c r="R54" i="5" s="1"/>
  <c r="R55" i="5" s="1"/>
  <c r="J5" i="5"/>
  <c r="J53" i="5" s="1"/>
  <c r="J54" i="5" s="1"/>
  <c r="J55" i="5" s="1"/>
  <c r="F5" i="5"/>
  <c r="F53" i="5" s="1"/>
  <c r="F54" i="5" s="1"/>
  <c r="F55" i="5" s="1"/>
  <c r="B70" i="2"/>
  <c r="AA5" i="5"/>
  <c r="AA53" i="5" s="1"/>
  <c r="AA54" i="5" s="1"/>
  <c r="AA55" i="5" s="1"/>
  <c r="AE5" i="5"/>
  <c r="AE53" i="5" s="1"/>
  <c r="AE54" i="5" s="1"/>
  <c r="AE55" i="5" s="1"/>
  <c r="AI5" i="5"/>
  <c r="AI53" i="5" s="1"/>
  <c r="AI54" i="5" s="1"/>
  <c r="AI55" i="5" s="1"/>
  <c r="AM5" i="5"/>
  <c r="AM53" i="5" s="1"/>
  <c r="AM54" i="5" s="1"/>
  <c r="AM55" i="5" s="1"/>
  <c r="B68" i="5"/>
  <c r="O5" i="5"/>
  <c r="O53" i="5" s="1"/>
  <c r="O54" i="5" s="1"/>
  <c r="O55" i="5" s="1"/>
  <c r="D22" i="2"/>
  <c r="AG5" i="5"/>
  <c r="AG53" i="5" s="1"/>
  <c r="AG54" i="5" s="1"/>
  <c r="AG55" i="5" s="1"/>
  <c r="U5" i="5"/>
  <c r="Q5" i="5"/>
  <c r="Q53" i="5" s="1"/>
  <c r="Q54" i="5" s="1"/>
  <c r="Q55" i="5" s="1"/>
  <c r="M5" i="5"/>
  <c r="M53" i="5" s="1"/>
  <c r="M54" i="5" s="1"/>
  <c r="M55" i="5" s="1"/>
  <c r="E5" i="5"/>
  <c r="AD5" i="5"/>
  <c r="AD53" i="5" s="1"/>
  <c r="AD54" i="5" s="1"/>
  <c r="AD55" i="5" s="1"/>
  <c r="AL5" i="5"/>
  <c r="AL53" i="5" s="1"/>
  <c r="AL54" i="5" s="1"/>
  <c r="AL55" i="5" s="1"/>
  <c r="AP25" i="5"/>
  <c r="T47" i="5"/>
  <c r="AC5" i="5"/>
  <c r="AC53" i="5" s="1"/>
  <c r="AC54" i="5" s="1"/>
  <c r="AC55" i="5" s="1"/>
  <c r="AK5" i="5"/>
  <c r="AK53" i="5" s="1"/>
  <c r="AK54" i="5" s="1"/>
  <c r="AK55" i="5" s="1"/>
  <c r="V25" i="5"/>
  <c r="P5" i="5"/>
  <c r="P53" i="5" s="1"/>
  <c r="P54" i="5" s="1"/>
  <c r="P55" i="5" s="1"/>
  <c r="L5" i="5"/>
  <c r="L53" i="5" s="1"/>
  <c r="L54" i="5" s="1"/>
  <c r="L55" i="5" s="1"/>
  <c r="S5" i="5"/>
  <c r="S53" i="5" s="1"/>
  <c r="S54" i="5" s="1"/>
  <c r="S55" i="5" s="1"/>
  <c r="G5" i="5"/>
  <c r="G53" i="5" s="1"/>
  <c r="G54" i="5" s="1"/>
  <c r="G55" i="5" s="1"/>
  <c r="H47" i="5"/>
  <c r="T5" i="5"/>
  <c r="D73" i="4"/>
  <c r="F73" i="4" s="1"/>
  <c r="H5" i="5"/>
  <c r="V6" i="5"/>
  <c r="U47" i="5"/>
  <c r="E47" i="5"/>
  <c r="V8" i="5"/>
  <c r="V21" i="5"/>
  <c r="V48" i="5"/>
  <c r="K5" i="5"/>
  <c r="K53" i="5" s="1"/>
  <c r="K54" i="5" s="1"/>
  <c r="K55" i="5" s="1"/>
  <c r="I47" i="5"/>
  <c r="D5" i="5"/>
  <c r="AP8" i="5"/>
  <c r="AP48" i="5"/>
  <c r="D47" i="5"/>
  <c r="I5" i="5"/>
  <c r="X5" i="5"/>
  <c r="AB5" i="5"/>
  <c r="AB53" i="5" s="1"/>
  <c r="AB54" i="5" s="1"/>
  <c r="AB55" i="5" s="1"/>
  <c r="AF5" i="5"/>
  <c r="AF53" i="5" s="1"/>
  <c r="AF54" i="5" s="1"/>
  <c r="AF55" i="5" s="1"/>
  <c r="AJ5" i="5"/>
  <c r="AJ53" i="5" s="1"/>
  <c r="AJ54" i="5" s="1"/>
  <c r="AJ55" i="5" s="1"/>
  <c r="AN5" i="5"/>
  <c r="AP21" i="5"/>
  <c r="AP6" i="5"/>
  <c r="X47" i="5"/>
  <c r="E75" i="4" l="1"/>
  <c r="E76" i="4" s="1"/>
  <c r="D81" i="4" s="1"/>
  <c r="C81" i="4"/>
  <c r="F20" i="1"/>
  <c r="H71" i="1"/>
  <c r="C72" i="2"/>
  <c r="D72" i="2" s="1"/>
  <c r="H73" i="1"/>
  <c r="C74" i="2"/>
  <c r="D74" i="2" s="1"/>
  <c r="H71" i="4"/>
  <c r="J71" i="4" s="1"/>
  <c r="G8" i="1"/>
  <c r="K16" i="4"/>
  <c r="G69" i="1"/>
  <c r="C71" i="2"/>
  <c r="F8" i="1"/>
  <c r="H16" i="1"/>
  <c r="C17" i="2" s="1"/>
  <c r="D17" i="2" s="1"/>
  <c r="D16" i="6"/>
  <c r="D46" i="2"/>
  <c r="D15" i="6" s="1"/>
  <c r="B19" i="6"/>
  <c r="B52" i="2"/>
  <c r="F25" i="1"/>
  <c r="B25" i="2"/>
  <c r="B9" i="6" s="1"/>
  <c r="C6" i="6"/>
  <c r="F28" i="1"/>
  <c r="H28" i="1" s="1"/>
  <c r="H20" i="1"/>
  <c r="D20" i="2"/>
  <c r="H21" i="1"/>
  <c r="H18" i="1"/>
  <c r="H17" i="1"/>
  <c r="C18" i="2" s="1"/>
  <c r="D18" i="2" s="1"/>
  <c r="B21" i="2"/>
  <c r="B8" i="6" s="1"/>
  <c r="B9" i="2"/>
  <c r="B7" i="6" s="1"/>
  <c r="J61" i="4"/>
  <c r="H53" i="4"/>
  <c r="K14" i="4"/>
  <c r="AN53" i="5"/>
  <c r="AN54" i="5" s="1"/>
  <c r="AN55" i="5" s="1"/>
  <c r="AH5" i="5"/>
  <c r="AH53" i="5" s="1"/>
  <c r="AH54" i="5" s="1"/>
  <c r="AH55" i="5" s="1"/>
  <c r="D27" i="2"/>
  <c r="D12" i="2"/>
  <c r="D13" i="2"/>
  <c r="H10" i="1"/>
  <c r="H27" i="4"/>
  <c r="J27" i="4" s="1"/>
  <c r="K27" i="4" s="1"/>
  <c r="D24" i="2"/>
  <c r="D21" i="2" s="1"/>
  <c r="D8" i="6" s="1"/>
  <c r="D26" i="2"/>
  <c r="H73" i="4"/>
  <c r="J73" i="4" s="1"/>
  <c r="K73" i="4" s="1"/>
  <c r="D14" i="2"/>
  <c r="K11" i="4"/>
  <c r="H70" i="1"/>
  <c r="D5" i="4"/>
  <c r="D64" i="4" s="1"/>
  <c r="F7" i="1"/>
  <c r="F6" i="1" s="1"/>
  <c r="F6" i="4"/>
  <c r="G75" i="4"/>
  <c r="G76" i="4" s="1"/>
  <c r="C75" i="4"/>
  <c r="H5" i="4"/>
  <c r="H64" i="4" s="1"/>
  <c r="K29" i="4"/>
  <c r="F26" i="4"/>
  <c r="D69" i="4"/>
  <c r="F69" i="4" s="1"/>
  <c r="N5" i="5"/>
  <c r="N53" i="5" s="1"/>
  <c r="N54" i="5" s="1"/>
  <c r="N55" i="5" s="1"/>
  <c r="K24" i="4"/>
  <c r="H69" i="4"/>
  <c r="J69" i="4" s="1"/>
  <c r="J26" i="4"/>
  <c r="AP30" i="5"/>
  <c r="C31" i="2" s="1"/>
  <c r="C30" i="2" s="1"/>
  <c r="Z5" i="5"/>
  <c r="Z53" i="5" s="1"/>
  <c r="Z54" i="5" s="1"/>
  <c r="Z55" i="5" s="1"/>
  <c r="V30" i="5"/>
  <c r="B31" i="2" s="1"/>
  <c r="B30" i="2" s="1"/>
  <c r="B10" i="6" s="1"/>
  <c r="G7" i="1"/>
  <c r="G6" i="1" s="1"/>
  <c r="H72" i="4"/>
  <c r="J72" i="4" s="1"/>
  <c r="H70" i="4"/>
  <c r="J70" i="4" s="1"/>
  <c r="AQ25" i="5"/>
  <c r="AQ21" i="5"/>
  <c r="E53" i="5"/>
  <c r="E54" i="5" s="1"/>
  <c r="E55" i="5" s="1"/>
  <c r="AQ8" i="5"/>
  <c r="D71" i="4"/>
  <c r="F71" i="4" s="1"/>
  <c r="T53" i="5"/>
  <c r="T54" i="5" s="1"/>
  <c r="T55" i="5" s="1"/>
  <c r="H53" i="5"/>
  <c r="H54" i="5" s="1"/>
  <c r="H55" i="5" s="1"/>
  <c r="U53" i="5"/>
  <c r="U54" i="5" s="1"/>
  <c r="U55" i="5" s="1"/>
  <c r="D72" i="4"/>
  <c r="F72" i="4" s="1"/>
  <c r="D70" i="4"/>
  <c r="F70" i="4" s="1"/>
  <c r="I53" i="5"/>
  <c r="I54" i="5" s="1"/>
  <c r="I55" i="5" s="1"/>
  <c r="AQ6" i="5"/>
  <c r="D53" i="5"/>
  <c r="V47" i="5"/>
  <c r="AQ48" i="5"/>
  <c r="X53" i="5"/>
  <c r="AP47" i="5"/>
  <c r="V5" i="5" l="1"/>
  <c r="K71" i="4"/>
  <c r="D82" i="4"/>
  <c r="H8" i="1"/>
  <c r="C70" i="2"/>
  <c r="D71" i="2"/>
  <c r="D70" i="2" s="1"/>
  <c r="D19" i="6" s="1"/>
  <c r="D9" i="2"/>
  <c r="D7" i="6" s="1"/>
  <c r="G51" i="1"/>
  <c r="H51" i="1" s="1"/>
  <c r="H69" i="1"/>
  <c r="F24" i="1"/>
  <c r="H24" i="1" s="1"/>
  <c r="B17" i="6"/>
  <c r="D25" i="2"/>
  <c r="D9" i="6" s="1"/>
  <c r="H25" i="1"/>
  <c r="D30" i="2"/>
  <c r="D10" i="6" s="1"/>
  <c r="C10" i="6"/>
  <c r="C9" i="2"/>
  <c r="D52" i="2"/>
  <c r="D17" i="6" s="1"/>
  <c r="H6" i="1"/>
  <c r="K6" i="4"/>
  <c r="B8" i="2"/>
  <c r="B7" i="2" s="1"/>
  <c r="C76" i="4"/>
  <c r="K61" i="4"/>
  <c r="K53" i="4" s="1"/>
  <c r="J53" i="4"/>
  <c r="F5" i="4"/>
  <c r="F64" i="4" s="1"/>
  <c r="J5" i="4"/>
  <c r="K72" i="4"/>
  <c r="K69" i="4"/>
  <c r="J74" i="4"/>
  <c r="F74" i="4"/>
  <c r="D31" i="2"/>
  <c r="K26" i="4"/>
  <c r="K70" i="4"/>
  <c r="AP5" i="5"/>
  <c r="AQ5" i="5" s="1"/>
  <c r="AQ30" i="5"/>
  <c r="G30" i="1"/>
  <c r="G29" i="1" s="1"/>
  <c r="G5" i="1" s="1"/>
  <c r="G74" i="1" s="1"/>
  <c r="H7" i="1"/>
  <c r="H74" i="4"/>
  <c r="H75" i="4" s="1"/>
  <c r="D74" i="4"/>
  <c r="V53" i="5"/>
  <c r="D54" i="5"/>
  <c r="AQ47" i="5"/>
  <c r="X54" i="5"/>
  <c r="AP53" i="5"/>
  <c r="D75" i="4" l="1"/>
  <c r="D76" i="4" s="1"/>
  <c r="C83" i="4"/>
  <c r="C52" i="2"/>
  <c r="C17" i="6" s="1"/>
  <c r="C19" i="6"/>
  <c r="J64" i="4"/>
  <c r="B6" i="6"/>
  <c r="B6" i="2"/>
  <c r="C7" i="6"/>
  <c r="C6" i="2"/>
  <c r="G75" i="1"/>
  <c r="G76" i="1" s="1"/>
  <c r="D8" i="2"/>
  <c r="D7" i="2" s="1"/>
  <c r="D6" i="6" s="1"/>
  <c r="V59" i="5"/>
  <c r="H76" i="4"/>
  <c r="J75" i="4"/>
  <c r="K5" i="4"/>
  <c r="K64" i="4" s="1"/>
  <c r="K74" i="4"/>
  <c r="F30" i="1"/>
  <c r="F29" i="1" s="1"/>
  <c r="F5" i="1" s="1"/>
  <c r="AQ53" i="5"/>
  <c r="D55" i="5"/>
  <c r="V55" i="5" s="1"/>
  <c r="V54" i="5"/>
  <c r="X55" i="5"/>
  <c r="AP55" i="5" s="1"/>
  <c r="B72" i="5" s="1"/>
  <c r="AP54" i="5"/>
  <c r="D83" i="4" l="1"/>
  <c r="D84" i="4" s="1"/>
  <c r="F75" i="4"/>
  <c r="F76" i="4" s="1"/>
  <c r="F74" i="1"/>
  <c r="H5" i="1"/>
  <c r="C5" i="6"/>
  <c r="C75" i="2"/>
  <c r="B5" i="6"/>
  <c r="D6" i="2"/>
  <c r="B75" i="2"/>
  <c r="H29" i="1"/>
  <c r="J76" i="4"/>
  <c r="H30" i="1"/>
  <c r="AQ55" i="5"/>
  <c r="B71" i="5"/>
  <c r="AQ54" i="5"/>
  <c r="K75" i="4" l="1"/>
  <c r="K76" i="4" s="1"/>
  <c r="D5" i="6"/>
  <c r="D75" i="2"/>
  <c r="D20" i="6" s="1"/>
  <c r="F75" i="1"/>
  <c r="H74" i="1"/>
  <c r="C76" i="2"/>
  <c r="C20" i="6"/>
  <c r="B76" i="2"/>
  <c r="B20" i="6"/>
  <c r="B73" i="5"/>
  <c r="B74" i="5" s="1"/>
  <c r="B79" i="5" s="1"/>
  <c r="B80" i="5" s="1"/>
  <c r="C21" i="6" l="1"/>
  <c r="C77" i="2"/>
  <c r="C22" i="6" s="1"/>
  <c r="B21" i="6"/>
  <c r="B77" i="2"/>
  <c r="B22" i="6" s="1"/>
  <c r="D76" i="2"/>
  <c r="F76" i="1"/>
  <c r="H75" i="1"/>
  <c r="H76" i="1" s="1"/>
  <c r="D21" i="6" l="1"/>
  <c r="D77" i="2"/>
  <c r="D22" i="6" s="1"/>
</calcChain>
</file>

<file path=xl/comments1.xml><?xml version="1.0" encoding="utf-8"?>
<comments xmlns="http://schemas.openxmlformats.org/spreadsheetml/2006/main">
  <authors>
    <author>Gisele Didier</author>
  </authors>
  <commentList>
    <comment ref="E7" authorId="0">
      <text>
        <r>
          <rPr>
            <b/>
            <sz val="9"/>
            <color indexed="81"/>
            <rFont val="Tahoma"/>
            <family val="2"/>
          </rPr>
          <t>Gisele Didier:</t>
        </r>
        <r>
          <rPr>
            <sz val="9"/>
            <color indexed="81"/>
            <rFont val="Tahoma"/>
            <family val="2"/>
          </rPr>
          <t xml:space="preserve">
contratos para 4 tecnicos indigenas por 2 meses a razon de 1500/mes
</t>
        </r>
      </text>
    </comment>
    <comment ref="G7" authorId="0">
      <text>
        <r>
          <rPr>
            <b/>
            <sz val="9"/>
            <color indexed="81"/>
            <rFont val="Tahoma"/>
            <family val="2"/>
          </rPr>
          <t>Gisele Didier:</t>
        </r>
        <r>
          <rPr>
            <sz val="9"/>
            <color indexed="81"/>
            <rFont val="Tahoma"/>
            <family val="2"/>
          </rPr>
          <t xml:space="preserve">
Viaticos para 4 caciques por 4 reuniones, calculando que solo duermen 2 noches en Panama. 
Con estos recursos pagan transporte desde lugar de origen y estadia en Panama
</t>
        </r>
      </text>
    </comment>
    <comment ref="T7" authorId="0">
      <text>
        <r>
          <rPr>
            <b/>
            <sz val="9"/>
            <color indexed="81"/>
            <rFont val="Tahoma"/>
            <family val="2"/>
          </rPr>
          <t>Gisele Didier:</t>
        </r>
        <r>
          <rPr>
            <sz val="9"/>
            <color indexed="81"/>
            <rFont val="Tahoma"/>
            <family val="2"/>
          </rPr>
          <t xml:space="preserve">
alquiler de salon y coffee break para 4 reuniones de la comision tecnica y 4 reuniones con las autoridades
+ 5000 imprevistos
</t>
        </r>
      </text>
    </comment>
    <comment ref="U7" authorId="0">
      <text>
        <r>
          <rPr>
            <b/>
            <sz val="9"/>
            <color indexed="81"/>
            <rFont val="Tahoma"/>
            <family val="2"/>
          </rPr>
          <t>Gisele Didier:</t>
        </r>
        <r>
          <rPr>
            <sz val="9"/>
            <color indexed="81"/>
            <rFont val="Tahoma"/>
            <family val="2"/>
          </rPr>
          <t xml:space="preserve">
2 asambleas de coonapip
</t>
        </r>
      </text>
    </comment>
    <comment ref="Y11" authorId="0">
      <text>
        <r>
          <rPr>
            <b/>
            <sz val="9"/>
            <color indexed="81"/>
            <rFont val="Tahoma"/>
            <family val="2"/>
          </rPr>
          <t>Gisele Didier:</t>
        </r>
        <r>
          <rPr>
            <sz val="9"/>
            <color indexed="81"/>
            <rFont val="Tahoma"/>
            <family val="2"/>
          </rPr>
          <t xml:space="preserve">
Contratos para 2 tecnicos de cada estructura, para acompañar proceso de consulta en rol de coordinacion (85 por dia) y asistencia (50 por dia), durante 12 dias
</t>
        </r>
      </text>
    </comment>
    <comment ref="Y15" authorId="0">
      <text>
        <r>
          <rPr>
            <b/>
            <sz val="9"/>
            <color indexed="81"/>
            <rFont val="Tahoma"/>
            <family val="2"/>
          </rPr>
          <t>Gisele Didier:</t>
        </r>
        <r>
          <rPr>
            <sz val="9"/>
            <color indexed="81"/>
            <rFont val="Tahoma"/>
            <family val="2"/>
          </rPr>
          <t xml:space="preserve">
Los técnicos indigenas apoyarán labores de sistematizacion de la consulta</t>
        </r>
      </text>
    </comment>
    <comment ref="AC15" authorId="0">
      <text>
        <r>
          <rPr>
            <b/>
            <sz val="9"/>
            <color indexed="81"/>
            <rFont val="Tahoma"/>
            <family val="2"/>
          </rPr>
          <t xml:space="preserve">Gisele Didier:
Mobiliario oficina (4 escritorios y sala de reuniones)
</t>
        </r>
      </text>
    </comment>
    <comment ref="AG15" authorId="0">
      <text>
        <r>
          <rPr>
            <b/>
            <sz val="9"/>
            <color indexed="81"/>
            <rFont val="Tahoma"/>
            <family val="2"/>
          </rPr>
          <t>Gisele Didier:</t>
        </r>
        <r>
          <rPr>
            <sz val="9"/>
            <color indexed="81"/>
            <rFont val="Tahoma"/>
            <family val="2"/>
          </rPr>
          <t xml:space="preserve">
4 COMPUTADROAS LAPTOP Y 2 MULTIFUNCIONALES
</t>
        </r>
      </text>
    </comment>
    <comment ref="AN17" authorId="0">
      <text>
        <r>
          <rPr>
            <b/>
            <sz val="9"/>
            <color indexed="81"/>
            <rFont val="Tahoma"/>
            <family val="2"/>
          </rPr>
          <t>Gisele Didier:</t>
        </r>
        <r>
          <rPr>
            <sz val="9"/>
            <color indexed="81"/>
            <rFont val="Tahoma"/>
            <family val="2"/>
          </rPr>
          <t xml:space="preserve">
Apoyo con relatoria
</t>
        </r>
      </text>
    </comment>
    <comment ref="AO17" authorId="0">
      <text>
        <r>
          <rPr>
            <b/>
            <sz val="9"/>
            <color indexed="81"/>
            <rFont val="Tahoma"/>
            <family val="2"/>
          </rPr>
          <t>Gisele Didier:</t>
        </r>
        <r>
          <rPr>
            <sz val="9"/>
            <color indexed="81"/>
            <rFont val="Tahoma"/>
            <family val="2"/>
          </rPr>
          <t xml:space="preserve">
Alquiler de salon, coffee break y almuerzo para 60 personas
</t>
        </r>
      </text>
    </comment>
    <comment ref="AO18" authorId="0">
      <text>
        <r>
          <rPr>
            <b/>
            <sz val="9"/>
            <color indexed="81"/>
            <rFont val="Tahoma"/>
            <family val="2"/>
          </rPr>
          <t>Gisele Didier:</t>
        </r>
        <r>
          <rPr>
            <sz val="9"/>
            <color indexed="81"/>
            <rFont val="Tahoma"/>
            <family val="2"/>
          </rPr>
          <t xml:space="preserve">
2 reuniones de 5 submesas a razn de 35 doalres por 15 personas,  por saln, coffe y almuerzo
</t>
        </r>
      </text>
    </comment>
    <comment ref="AN19" authorId="0">
      <text>
        <r>
          <rPr>
            <b/>
            <sz val="9"/>
            <color indexed="81"/>
            <rFont val="Tahoma"/>
            <family val="2"/>
          </rPr>
          <t>Gisele Didier:</t>
        </r>
        <r>
          <rPr>
            <sz val="9"/>
            <color indexed="81"/>
            <rFont val="Tahoma"/>
            <family val="2"/>
          </rPr>
          <t xml:space="preserve">
Apoyo con relatoria
</t>
        </r>
      </text>
    </comment>
    <comment ref="AO19" authorId="0">
      <text>
        <r>
          <rPr>
            <b/>
            <sz val="9"/>
            <color indexed="81"/>
            <rFont val="Tahoma"/>
            <family val="2"/>
          </rPr>
          <t>Gisele Didier:</t>
        </r>
        <r>
          <rPr>
            <sz val="9"/>
            <color indexed="81"/>
            <rFont val="Tahoma"/>
            <family val="2"/>
          </rPr>
          <t xml:space="preserve">
Alquiler de salon, coffee break y almuerzo para 60 personas
</t>
        </r>
      </text>
    </comment>
    <comment ref="Y22" authorId="0">
      <text>
        <r>
          <rPr>
            <b/>
            <sz val="9"/>
            <color indexed="81"/>
            <rFont val="Tahoma"/>
            <family val="2"/>
          </rPr>
          <t>Gisele Didier:</t>
        </r>
        <r>
          <rPr>
            <sz val="9"/>
            <color indexed="81"/>
            <rFont val="Tahoma"/>
            <family val="2"/>
          </rPr>
          <t xml:space="preserve">
Asesoria para la gestion del banco de fotos
</t>
        </r>
      </text>
    </comment>
    <comment ref="AO27" authorId="0">
      <text>
        <r>
          <rPr>
            <b/>
            <sz val="9"/>
            <color indexed="81"/>
            <rFont val="Tahoma"/>
            <family val="2"/>
          </rPr>
          <t>Gisele Didier:</t>
        </r>
        <r>
          <rPr>
            <sz val="9"/>
            <color indexed="81"/>
            <rFont val="Tahoma"/>
            <family val="2"/>
          </rPr>
          <t xml:space="preserve">
4 talleres en zonas prioritarias
</t>
        </r>
      </text>
    </comment>
  </commentList>
</comments>
</file>

<file path=xl/sharedStrings.xml><?xml version="1.0" encoding="utf-8"?>
<sst xmlns="http://schemas.openxmlformats.org/spreadsheetml/2006/main" count="552" uniqueCount="292">
  <si>
    <t>PROGRAMA NACIONAL CONJUNTO ONU-REDD PANAMÁ</t>
  </si>
  <si>
    <t>INDICADORES</t>
  </si>
  <si>
    <t>MEDIOS DE VERIFICACIÓN</t>
  </si>
  <si>
    <t>RIESGOS Y SUPUESTOS</t>
  </si>
  <si>
    <t>PRESUPUESTO POR AÑO</t>
  </si>
  <si>
    <t>2.2.1 Analizar el marco legal existente para el desarrollo de proyectos REDD+ en Panamá. Incluye participación y consulta.</t>
  </si>
  <si>
    <t>4.1.1.2 Establecer el Sistema de clasificación de cobertura y uso de la tierra. Incluye consulta.</t>
  </si>
  <si>
    <t>4.1.1.8  Evaluar los conocimientos y capacidades técnicas desarrolladas para el reporte de gases de efecto invernadero (GEI) para LULUCF  (con énfasis en el sector de forestal). Incluye capacitación</t>
  </si>
  <si>
    <t>TOTALES</t>
  </si>
  <si>
    <t xml:space="preserve">2.1.1 Analizar las causas actuales y futuras de la deforestación en Panamá / Evaluación detallada de las estrategias y programas pasados y actuales para manejar las amenazas y causas de la deforestación en el país. </t>
  </si>
  <si>
    <t>4.1.1 Diseñar el marco del Sistema nacional de monitoreo forestal (SNMF), en consulta a actores claves.</t>
  </si>
  <si>
    <t>Informe específico sobre Salvaguardas.</t>
  </si>
  <si>
    <t>El sistema de trazabilidad y transparencia del proceso de participación, que es una herramienta de acceso público que permite un seguimiento y evaluación social tanto de los resultados cómo los participantes del proceso.</t>
  </si>
  <si>
    <t>Borrador de Estrategia Nacional REDD+ Panamá, disponible en el sistema de trazabilidad y transparencia.</t>
  </si>
  <si>
    <t>Informes de avance del programa.</t>
  </si>
  <si>
    <t>Nota: el presupuesto corresponde al remanente del programa ONUREDD Panamá.</t>
  </si>
  <si>
    <t>4.2.1 Analizar las salvaguardas requeridas por REDD+ (COP Cancún, ONUREED y FCPF) necesarias para completar la Estrategia Nacional REDD+.</t>
  </si>
  <si>
    <t>Página web actualizada con información sobre los avances de los diferentes componentes del programa, y con un espacio propio y calendario para temas de consulta y participación.</t>
  </si>
  <si>
    <t>Publicación por parte de ANAM del Documento Borrador de Estrategia Nacional REDD+ Panamá. (Final del 2014)</t>
  </si>
  <si>
    <t>1.3.2  Asegurar la transparencia del proceso de elaboración de la Estrategia REDD+Panamá.</t>
  </si>
  <si>
    <t>TOTAL</t>
  </si>
  <si>
    <t>El sistema de trazabilidad y transparencia del proceso de participación, que es una herramienta de acceso público que permite un seguimiento y evaluación social tanto de los resultados cómo de los participantes del proceso.</t>
  </si>
  <si>
    <t>Relatorías de la Mesa Nacional puestos a disposición pública</t>
  </si>
  <si>
    <t>4.1.2 Capacitar y transferir conocimiento al personal de ANAM  y actores clave sobre el Sistema Nacional de Monitoreo Forestal (SNMF).</t>
  </si>
  <si>
    <t>4.1.3  Tomar medidas administrativas para institucionalizar los componentes del SNMF y gestionar fondos para su operación futura (ANAM).</t>
  </si>
  <si>
    <t>4.1.1.4  Diseñar e implementar el inicio del Sistema Satelital de Monitoreo de la Tierra. Incluye capacitación                                                                        • Evaluar opciones metodológicas y selección de metodología
• Adquirir (si fuera necesario) e instalar de software para operar el sistema
• Adquirir imágenes de satélite de 2012 y 2013 y pre-procesamiento de las imágenes.
• Capacitar personal  técnico en análisis multi-temporales
• Realizar análisis de cambios 2012-13
• Preparar informe de resultados</t>
  </si>
  <si>
    <t>4.1.1.6 Elaborar el Diseño Final del Inventario Nacional Forestal y de Carbono</t>
  </si>
  <si>
    <t>Identificadas y acordadas cuáles son las salvaguardas principales en el Taller de Concertación.</t>
  </si>
  <si>
    <t>Existe un capítulo sobre Salvaguardas en el primer borrador de la Estrategia Nacional REDD+ Panamá.</t>
  </si>
  <si>
    <t xml:space="preserve">RESULTADO ESPERADO 1: Organización, consulta y participación para la preparación de la Estrategia REDD+ Panamá  </t>
  </si>
  <si>
    <t>Documentos de cada una de las acciones y Documento Resumen de Línea base sobre la situación del bosque en Panamá según la propia percepción de los actores, están a  disposición pública.</t>
  </si>
  <si>
    <t>Acuerdo firmado.</t>
  </si>
  <si>
    <t>Memoria del proceso de concertación llevado a cabo en la Mesa Nacional REDD+ convocada para tal efecto, puesta a disposición pública.</t>
  </si>
  <si>
    <t>Propuesta base de la Estrategia REDD+ Panamá elaborado.</t>
  </si>
  <si>
    <t>PRODUCTOS Y ACTIVIDADES INDICATIVAS</t>
  </si>
  <si>
    <t xml:space="preserve">1.3.1 Divulgar la información generada por las diferentes líneas de trabajo del Programa ONUREDD Panamá. </t>
  </si>
  <si>
    <t>Protocolo de comunicación implementado
Página web actualizada con información sobre los avances de las diferentes líneas de trabajo del programa
3 Presentaciones genéricas sobre REDD+ elaboradas y accesibles en la web
Paquete gráfico y otros materiales (1 afiche, 1 desplegable y 6 fichas informativas) elaborados, diseñados e impresos
2 reportajes publicados o emitidos en medios
2 entrevistas publicadas o emitidas en medios</t>
  </si>
  <si>
    <t>Registro de actualizaciones y visitas a la Página web</t>
  </si>
  <si>
    <t xml:space="preserve">1.4.2 Elaborar, con participación de las comunidades, materiales informativos y de desarrollo de capacidades, así como ejecutar su respectivo plan de difusión local (según las necesidades de información y desarrollo de capacidades identificadas en el proceso de Escucha Activa).  </t>
  </si>
  <si>
    <t xml:space="preserve">Diagnóstico de canales y medios de comunicación  de los diferentes actores elaborado
Levantamiento de información en los Talleres del proceso de Escucha Activa
</t>
  </si>
  <si>
    <r>
      <t xml:space="preserve">Documento de diagnóstico de necesidades de </t>
    </r>
    <r>
      <rPr>
        <sz val="10"/>
        <color indexed="8"/>
        <rFont val="Arial"/>
        <family val="2"/>
      </rPr>
      <t>información</t>
    </r>
    <r>
      <rPr>
        <sz val="10"/>
        <rFont val="Arial"/>
        <family val="2"/>
      </rPr>
      <t xml:space="preserve"> y desarrollo de capacidades de los diferentes actores validado
Materiales de formación/sensibilización elaborados
4 Planes de difusión local diseñados y ejecutados.
</t>
    </r>
  </si>
  <si>
    <t>1 taller en cada una de las 4 regiones prioritarias
1 taller sobre REDD+ a nivel de ANAM central
Efectividad de los entrenamientos en el fortalecimiento de capacidades de los funcionarios</t>
  </si>
  <si>
    <t>Espacio para la operación del programa alquilado
Posiciones clave de la Unidad de Coordinación contratadas.</t>
  </si>
  <si>
    <t>Contratos adjudicados</t>
  </si>
  <si>
    <t>Producto 1.5: Gestión del Programa ONUREDD-Panamá</t>
  </si>
  <si>
    <t xml:space="preserve"> Información de instituciones públicas que manejan el tema de amenazas y causas de la deforestación y coordinación entre ellas .</t>
  </si>
  <si>
    <t>Listas de políticas y programas analizados.</t>
  </si>
  <si>
    <t>Memoria de los Talleres de Consulta realizados.</t>
  </si>
  <si>
    <t>1.5.1  Realizar la contratación de personal clave para  la Unidad de Coordinación, asegurar el espacio físico para la Unidad de Coordinación</t>
  </si>
  <si>
    <t>Información de las normas analizadas y conclusiones del estudio .</t>
  </si>
  <si>
    <t>Producto 2.1:  Evaluación del uso histórico de la tierra, los factores causantes de los cambios en el uso de la tierra, la política y la gestión.</t>
  </si>
  <si>
    <r>
      <t xml:space="preserve">Informe técnico con un análisis de opciones metodológicas y estimaciones preliminares de RL/REL nacionales y </t>
    </r>
    <r>
      <rPr>
        <i/>
        <sz val="10"/>
        <rFont val="Arial"/>
        <family val="2"/>
      </rPr>
      <t>#</t>
    </r>
    <r>
      <rPr>
        <sz val="10"/>
        <rFont val="Arial"/>
        <family val="2"/>
      </rPr>
      <t xml:space="preserve"> de técnicos capacitados en métodos de elaboración de RL/REL 
Tema incorporado en la Estrategia REDD+</t>
    </r>
  </si>
  <si>
    <t>Memoria de los Talleres de Capacitación y entrega de los materiales didácticos de RL/REL.</t>
  </si>
  <si>
    <t>Informe técnico, con procedimientos, métodos, resultados y evaluación de incertidumbre.</t>
  </si>
  <si>
    <t>Mapa de Cambios históricos de cobertura boscosa.</t>
  </si>
  <si>
    <t>Informe técnico del Análisis y escenarios basados en datos históricos y ajustados a las circunstancias nacionales / Tema incorporado en la Estrategia REDD+</t>
  </si>
  <si>
    <t>3.1.1 Evaluar las opciones metodológicas para la construcción de niveles de emisión de referencia / niveles de referencia, con información preliminar de RL/REL</t>
  </si>
  <si>
    <t>3.1.3  Elaborar análisis y escenarios basados en datos históricos y ajustados a las circunstancias nacionales.  Incluye  talleres de consulta sobre los beneficios y opciones de diferentes enfoques sobre niveles de referencia y  facilitar insumos técnicos para los tomadores de  decisiones.</t>
  </si>
  <si>
    <t>RESULTADO ESPERADO 4: Sistema Nacional de Monitoreo Forestal institucionalizado, operativo y sostenible, capaz de generar la información requerida para la gestión forestal,  incluyendo REDD+  y de información sobre las salvaguardias</t>
  </si>
  <si>
    <t xml:space="preserve">Producto 4.1:  Sistema Nacional de Monitoreo Forestal (SNMF) diseñado, iniciada su operación y en marcha el proceso de institucionalización. </t>
  </si>
  <si>
    <t>Documento marco del SNMF con todos sus componentes, cubriendo aspectos técnicos, institucionales y financieros, con un resumen de experiencias y lecciones aprendidas y con recomendaciones para la institucionalización e implementación.
Tema incorporado en la Estrategia REDD+</t>
  </si>
  <si>
    <t>Una serie de documentos técnicos relacionados al SNMF (con información técnica, de fortalecimiento institucional, personal y presupuesto para su operación.</t>
  </si>
  <si>
    <t>Equipo(s) técnico(s) constituido(s) con manual de procedimientos y funciones para mantener los diferentes componentes del SNMF.</t>
  </si>
  <si>
    <t>Entrevistas a funcionarios de ANAM encargados del SNMF.</t>
  </si>
  <si>
    <t>Iniciada la gestión de recursos por parte de ANAM para la operación del SNMF.</t>
  </si>
  <si>
    <t>Memoria de los talleres de consulta realizados y Nota de aprobación de ANAM.</t>
  </si>
  <si>
    <t>Documento técnico del sistema de clasificación y las definiciones correspondientes, discutido con diferentes actores y aprobado por ANAM.</t>
  </si>
  <si>
    <t xml:space="preserve">Documentos técnicos que describen los procesos y métodos aplicados, y una evaluación de la incertidumbre. 
Documento técnico de análisis de cambio anual de cobertura boscosa  2012-2013.
# de personas capacitadas en análisis multi-temporales
</t>
  </si>
  <si>
    <t>Memoria de los cursos de capacitación y acceso al Sistema satelital de monitoreo de la tierra.</t>
  </si>
  <si>
    <t>Memoria de los cursos de capacitación y acceso a las bases de datos elaboradas.</t>
  </si>
  <si>
    <t>Sistema para procesamiento de datos del inventario disponible y accesible en ANAM</t>
  </si>
  <si>
    <t># de talleres para la elaboración del diseño final del INFC
Documento con propuesta de diseño final del inventario nacional forestal y de carbono, incluyendo manuales, guías y formularios de campo, así como un análisis de necesidades financieras
Diseño final de la base de datos del inventario
Tema incorporado en la Estrategia REDD+</t>
  </si>
  <si>
    <t>Informe técnico sobre evaluación de modelos alométricos de biomasa aplicables en Panamá y recomendaciones para su uso</t>
  </si>
  <si>
    <t>Registro de estimaciones de biomasa y carbono</t>
  </si>
  <si>
    <t xml:space="preserve"> Informe sobre las capacidades de ANAM  para desarrollar inventarios GEI para LULUCF.
Al menos # personas capacitadas en inventarios GEI para LULUCF.
</t>
  </si>
  <si>
    <t xml:space="preserve">Memoria de los cursos de capacitación y de la evaluación de capacidades para elaborar los reportes </t>
  </si>
  <si>
    <t>Producto 4.2:  Proceso para generar información sobre salvaguardas REDD+ Panamá.</t>
  </si>
  <si>
    <t>PRESUPUESTO NUEVO MARCO DE MONITOREO</t>
  </si>
  <si>
    <t>Producto 2.2:  Propuesta del marco operacional y legal para operación del Programa REDD+ Panamá.</t>
  </si>
  <si>
    <t>Presupuesto 2013</t>
  </si>
  <si>
    <t>Descripción</t>
  </si>
  <si>
    <t xml:space="preserve">FAO                       </t>
  </si>
  <si>
    <t>UNDP</t>
  </si>
  <si>
    <t>UNEP</t>
  </si>
  <si>
    <t>Supplies, commodities, equipment and transport</t>
  </si>
  <si>
    <t>Personnel (Staff, Consultants &amp; Travel)</t>
  </si>
  <si>
    <t>Training of counterparts</t>
  </si>
  <si>
    <t>Contracts</t>
  </si>
  <si>
    <t>Other Direct Costs</t>
  </si>
  <si>
    <t>Total</t>
  </si>
  <si>
    <t xml:space="preserve"> </t>
  </si>
  <si>
    <t>TOTAL 2013</t>
  </si>
  <si>
    <t>Presupuesto 2014</t>
  </si>
  <si>
    <t>TOTAL 2014</t>
  </si>
  <si>
    <t>GRAN TOTAL</t>
  </si>
  <si>
    <t>TOTALES PROGRAMABLES</t>
  </si>
  <si>
    <t>RESULTADOS Y PRODUCTOS</t>
  </si>
  <si>
    <t>TOTAL POR CUENTA</t>
  </si>
  <si>
    <t>Costos indirectos  (7%) de recursos programados</t>
  </si>
  <si>
    <t>other</t>
  </si>
  <si>
    <t>DETALLES 2013 Noviembre y diciembre 2013</t>
  </si>
  <si>
    <t>training</t>
  </si>
  <si>
    <t>DETALLES 2014 Enero a Diciembre</t>
  </si>
  <si>
    <t>total  PNUD según prodoc</t>
  </si>
  <si>
    <t>transferido a la fecha</t>
  </si>
  <si>
    <t>Ejecutado y comprometido a la fecha</t>
  </si>
  <si>
    <t>total 13 y 14</t>
  </si>
  <si>
    <t>TOTAL programado</t>
  </si>
  <si>
    <t>Alquiler local</t>
  </si>
  <si>
    <t>Asistente</t>
  </si>
  <si>
    <t>Especialista en consultas</t>
  </si>
  <si>
    <t>Mantenimiento A/C</t>
  </si>
  <si>
    <t>Servicios (Agua, luz, Telefono)</t>
  </si>
  <si>
    <t>Aseo</t>
  </si>
  <si>
    <t>Alarma</t>
  </si>
  <si>
    <t>Viaticos coordinacion</t>
  </si>
  <si>
    <t>Materiales oficina, aseo y alimentos</t>
  </si>
  <si>
    <t>Gran total</t>
  </si>
  <si>
    <t>Por programar + gms</t>
  </si>
  <si>
    <t>para programar</t>
  </si>
  <si>
    <t>gms</t>
  </si>
  <si>
    <t>Programado + gms 2013</t>
  </si>
  <si>
    <t>Programado + gms 2014</t>
  </si>
  <si>
    <t>Para (bajar) subir</t>
  </si>
  <si>
    <t>Consultoria planificación, seguimiento y evaluacion/Gerencia</t>
  </si>
  <si>
    <t>Secretario/Estrategia REDD</t>
  </si>
  <si>
    <t>Especialista comunicación</t>
  </si>
  <si>
    <t>total programar + gms</t>
  </si>
  <si>
    <t>Viaticos ANAM (nacional)</t>
  </si>
  <si>
    <t>Viaticos ANAM (internacional)</t>
  </si>
  <si>
    <t>Costos de gestión (7%)</t>
  </si>
  <si>
    <r>
      <t xml:space="preserve">1.2.1  Completar el proceso de Escucha Activa hasta tener un  Prediagnóstico Percibido sobre la situación del bosque en Panamá que resuma los resultados de </t>
    </r>
    <r>
      <rPr>
        <sz val="10"/>
        <color theme="1"/>
        <rFont val="Arial"/>
        <family val="2"/>
      </rPr>
      <t xml:space="preserve"> </t>
    </r>
  </si>
  <si>
    <t xml:space="preserve">     5 talleres con afrodescendientes.</t>
  </si>
  <si>
    <t xml:space="preserve">    6 talleres con comunidades campesinas.</t>
  </si>
  <si>
    <t xml:space="preserve">     30 entrevistas en profundidad con actores públicos, privados, ONGs, organizaciones internacionales, academia e investigadores, entre otros.</t>
  </si>
  <si>
    <t>CONTROL</t>
  </si>
  <si>
    <t>PNUD</t>
  </si>
  <si>
    <t>1.1.1  Establecimiento de consenso sobre las reglas, normas y necesidades para la participación de los PI en las siguientes fases del proceso Diálogo/Construcción/Transformación en condiciones de igualdad/transparencia/respeto, respecto a la ejecución  de la extension del PNC</t>
  </si>
  <si>
    <t>Convenio marco firmado entre ANAM y COONAPIP</t>
  </si>
  <si>
    <t>Convenio marco firmado entre ANAM y COONAPIP, que conlleva a un mejoramiento de las relaciones con los PI, en cuanto al conocimiento de su cultura y protocolos de acciones, en pro de realizar tareas conjuntas en programas y proyectos ambientales, incluyendo proyectos REDD+.</t>
  </si>
  <si>
    <t>Documento de convenio firmado difundido.</t>
  </si>
  <si>
    <r>
      <rPr>
        <b/>
        <sz val="10"/>
        <color theme="1"/>
        <rFont val="Arial"/>
        <family val="2"/>
      </rPr>
      <t>SUPUESTO:</t>
    </r>
    <r>
      <rPr>
        <sz val="10"/>
        <color theme="1"/>
        <rFont val="Arial"/>
        <family val="2"/>
      </rPr>
      <t xml:space="preserve"> se concede la extensión del Programa hasta diciembre de 2014.</t>
    </r>
  </si>
  <si>
    <t xml:space="preserve">Documentos con memorias, actas, resoluciones y listas de asistencia,  de cada una de las acciones, y documento resumen de la contribución de los diferentes actores sobre la situación del bosque en Panamá según su propia percepción están a  disposición pública.  </t>
  </si>
  <si>
    <t>1.2.2  Garantizar la coordinación con COONAPIP en el proceso de consulta y participación (Equipo de cuatro (4) técnicos para la asistencia y orientación en la ejecución del  programa  ONUREDD Panamá en las Comarcas y Territorios Colectivos por parte de la COONAPIP, y apoyo logístico)</t>
  </si>
  <si>
    <t xml:space="preserve">     Fortalecimiento de las capacidades de COONAPIP y PI en la gestión transparente de recursos económicos y rendición de cuentas</t>
  </si>
  <si>
    <t xml:space="preserve">1.2.3 Realizar un proceso de concertación en el marco de la Mesa Nacional REDD+ con una representación adecuada de la diversidad de actores sociales, en el que se acuerden los temas centrales que deben ser considerados cómo prioritarios por la Estrategia. </t>
  </si>
  <si>
    <t>Propuesta base de la Estrategia REDD+ Panamá elaborada.</t>
  </si>
  <si>
    <t xml:space="preserve">1.2.5 Convocar a la Mesa Nacional para el debate y mejora del borrador  de Estrategia  Nacional REDD+ y acordado un esquema de participación social en el Comité nacional ONUREDD. </t>
  </si>
  <si>
    <t>1.2.6 Elaborar un borrador avanzado de la Estrategia Nacional REDD+ Panamá,  resultante del proceso de participación y de  los trabajos técnicos de ANAM, y acordado con los mecanismos de participación para su validación.</t>
  </si>
  <si>
    <t xml:space="preserve">1.2.4 Elaborar la propuesta base de la Estrategia REDD+ Panamá </t>
  </si>
  <si>
    <t>Aumentado y mejorado el involucramiento de los actores clave, en el proceso de discusión de la situación del bosque en Panamá mediante participación, escucha activa, transparencia y concertación, en el marco de la Mesa Nacional REDD, en donde se acordaron los temas centrales de la Estrategia Nacional REDD+, el esquema de participación social en el Comité Nacional REDD+ y fue elaborado el Borrador de la Estrategia Nacional REDD+ Panamá para la Consulta Nacional de la misma.</t>
  </si>
  <si>
    <t>Producto 1.1:  Convenio marco firmado entre ANAM y COONAPIP que cumple con los compromisos de Lombok</t>
  </si>
  <si>
    <t>Producto 1.2:  Desarrollado el proceso de consulta y participación para la formulación de la Estrategia REDD+ Panamá</t>
  </si>
  <si>
    <t>Producto 1.3 : Comunicación realizada, en forma transparente, durante el proceso de elaboración de la Estrategia REDD+</t>
  </si>
  <si>
    <t>Protocolo de comunicación implementado
Página web actualizada con los avances de las diferentes líneas de trabajo del programa
3 presentaciones genéricas sobre REDD+ elaboradas y accesibles en la web
Paquete gráfico y otros materiales (1 afiche, 1 desplegable y 6 fichas informativas) elaborados, diseñados, impresos y distribuidos)
2 reportajes publicados o emitidos en medios
2 entrevistas publicadas o emitidas en medios</t>
  </si>
  <si>
    <t>Protocolos de comunicación, difusión y transparencia desarrollados y aplicados en conjunto con los actores clave, en especial con los PI, durante el proceso de elaboración de la Estrategia Nacional REDD+ Panamá.</t>
  </si>
  <si>
    <t>Registro  de nivel de aplicación del protocolo de comunicación
Registro de actualizaciones y visitas a la Página Web
Copia de las presentaciones genéricas elaboradas y utilizadas por funcionarios para difundir material REDD+
Material gráfico producido y distribuido a los actores clave
Registro de reportajes y entrevistas  publicados o emitidos</t>
  </si>
  <si>
    <t xml:space="preserve">     Mecanismo de divulgación e información durante la preparación, ejecución y evaluación del programa REDD+, a las distintas estructuras  miembros de la COONAPIP y otros actores.</t>
  </si>
  <si>
    <t xml:space="preserve">Mensajes radiales, trípticos, medios escritos, informes de participación en los eventos de  los congresos, visitas de información, entre otros. </t>
  </si>
  <si>
    <t>Página web actualizada con los avances de los diferentes componentes del programa, y con un espacio propio y calendario para temas de consulta y participación.</t>
  </si>
  <si>
    <t>1.4.1 Acompañar el proceso de Escucha Activa (ver 1.2.1)  en las comunidades dependientes del bosque para identificar canales y medios  de comunicación en las diferentes áreas.</t>
  </si>
  <si>
    <t>Diagnóstico de canales y medios de comunicación  de los diferentes actores elaborado. / Generación de conocimientos para la participación activa de los actores.</t>
  </si>
  <si>
    <t xml:space="preserve">Incrementadas las capacidades de los actores clave, mediante el intercambio de saberes con las comunidades dependientes del bosque, en especial con los PI, para el desarrollo futuro de proyectos REDD+ en Panamá; por ejemplo, el conocimiento de la metodología de Balu Wala, la cosmovisión y la espiritualidad indígena respecto a los recursos naturales, la ecología y el bosque tropical. </t>
  </si>
  <si>
    <t>Documento de diagnóstico de canales y medios de comunicación utilizados/ 
Memorias y listas de participantes en talleres</t>
  </si>
  <si>
    <r>
      <t xml:space="preserve">Documento de diagnóstico de necesidades de </t>
    </r>
    <r>
      <rPr>
        <sz val="10"/>
        <color indexed="8"/>
        <rFont val="Arial"/>
        <family val="2"/>
      </rPr>
      <t>información</t>
    </r>
    <r>
      <rPr>
        <sz val="10"/>
        <rFont val="Arial"/>
        <family val="2"/>
      </rPr>
      <t xml:space="preserve"> y desarrollo de capacidades de los diferentes actores validado.
Materiales de formación/sensibilización elaborados
4 Planes de difusión local diseñados y ejecutados.
</t>
    </r>
  </si>
  <si>
    <t xml:space="preserve">Lista de enlaces comunitarios
Materiales  de formación y sensibilización elaborados
Planes de difusión local formulados y evaluación del estado de ejecución
Materiales producidos </t>
  </si>
  <si>
    <t xml:space="preserve">1.4.3  Fortalecer las capacidades de los técnicos de la ANAM a nivel central y en las sedes regionales prioritarias, así como identificar enlaces de comunicación sobre el terreno. </t>
  </si>
  <si>
    <t>Memoria de un (1) taller en cada una de las 4 regiones prioritarias
Memoria de un (1) taller sobre REDD+ a nivel de ANAM central
Efectividad de los entrenamientos en el fortalecimiento de capacidades de los funcionarios</t>
  </si>
  <si>
    <t xml:space="preserve">Informe de actividades / Encuestas de efectividad de los talleres de capacitación
</t>
  </si>
  <si>
    <t>1.4.4 Fortalecer las capacidades de dos (2) técnicos por cada uno de los Congresos y Consejos, y de funcionarios de ANAM y ONUREDD entre otros (*).</t>
  </si>
  <si>
    <t xml:space="preserve">Memoria de dos (2) talleres:
- un taller sobre la inducción de los recursos normados en cada una de las leyes de las comarcas y territorios colectiva, tomando la metodología de Balu Wala. 
- un taller sobre cosmovisión y espiritualidad indígenas, recursos naturales, ecología y bosque tropical frente al desafío de REDD+. </t>
  </si>
  <si>
    <t>Sistema de gestión del Programa ONU-REDD implementado, con personal nacional capacitado para continuar las labores en cada uno de los componentes del Programa.</t>
  </si>
  <si>
    <r>
      <t xml:space="preserve">1.5.2 Investigación, evaluación medio término y </t>
    </r>
    <r>
      <rPr>
        <sz val="10"/>
        <rFont val="Arial"/>
        <family val="2"/>
      </rPr>
      <t>evaluación final</t>
    </r>
  </si>
  <si>
    <t xml:space="preserve">Producto 1.4  Fortalecimiento de capacidades e intercambio de saberes con las comunidades destinatarias del programa REDD+ </t>
  </si>
  <si>
    <t>Producto 1.5: Implementado el sistema de gestión del Programa ONU-REDD-Panamá</t>
  </si>
  <si>
    <t>COMPONENTE 2: Marco técnico operacional y legal elaborado, para la Estrategia REDD+</t>
  </si>
  <si>
    <t>COMPONENTE 1: Organización, consulta y participación para la preparación de la Estrategia REDD+ Panamá</t>
  </si>
  <si>
    <t>Analizadas las causas actuales de la deforestación, así como los impactos producidos en los territorios indígenas; estimado los costos de oportunidad por trayectoria de uso de la tierra; compartida e internalizada la información con los actores clave en el proceso de participación y consulta.</t>
  </si>
  <si>
    <t xml:space="preserve">2.1.2 Identificar y analizar el impacto de las invasiones, deforestación y degradación en las áreas vulnerables de las comarcas y territorios indígenas. </t>
  </si>
  <si>
    <t xml:space="preserve">Informe técnico legal incluyendo magnitud de las invasiones, deforestación y degradación por actores ajenos a los indígenas. </t>
  </si>
  <si>
    <t>2.1.3  Analizar el impacto de las políticas y programas en el proceso de deforestación en Panamá</t>
  </si>
  <si>
    <t xml:space="preserve">2.1.4 Estimar y analizar los costos de oportunidad por trayectorias de usos de suelo en Panamá / Incluye talleres de consulta </t>
  </si>
  <si>
    <t>Analizada la legislación ambiental panameña y socializada la propuesta de marco legal para el desarrollo de proyectos REDD+, con un resumen de experiencias y lecciones aprendidas  durante el proceso participativo con los actores clave, y recomendaciones para su implementación.
Equipo técnico capacitado para manejar los aspectos legales referentes a proyectos REDD+ en Panamá, incluyendo técnicos de PI.</t>
  </si>
  <si>
    <t>2.2.2. Realizar segunda fase de análisis legal y consultas con el objeto de elaborar una Propuesta de Marco Legal para la Operación de REDD+. Incluye consultas.</t>
  </si>
  <si>
    <t xml:space="preserve">Propuesta de Marco Legal para la Operación de REDD+.
</t>
  </si>
  <si>
    <t>2.2.3 Realizar primera socialización y divulgación de propuesta de marco legal a COONAPIP con la participación de siete pueblos indígenas y 12 congresos y consejos.</t>
  </si>
  <si>
    <t>Propuesta de marco legal para la operación de REDD+
Marco legal socializado y divulgado a los pueblos indígenas.</t>
  </si>
  <si>
    <t>Producto 2.3:  Propuesta de Mecanismo Operativo y registro para un Programa REDD+ Panamá.</t>
  </si>
  <si>
    <t>2.3.1. Propuesta elaborada del mecanismo operativo y  de registro para un Programa REDD+ en Panamá.</t>
  </si>
  <si>
    <t>Propuesta de esquema para Registro de proyectos REDD / Propuesta de Estructura de Operación de un mecanismo REDD para el país, incluido necesidades de personal,  e infraestructura.</t>
  </si>
  <si>
    <t>Propuesta del mecanismo operativo y registro para un Programa REDD+, así como el diseño del mecanismo financiero de captación, administración y distribución de fondos para REDD+ en Panamá, con un resumen de experiencias, lecciones aprendidas y con recomendaciones para la institucionalización e implementación.
Equipo técnico capacitado con manual de procedimientos y funciones para operar el sistema, incluyendo técnicos de PI.</t>
  </si>
  <si>
    <t>Propuesta de esquema para Registro de proyectos REDD / Propuesta de diseño de mecanismo operativo</t>
  </si>
  <si>
    <t>2.3.2 Propuesta elaborada del mecanismo financiero  de captación, administración y distribución de fondos para REDD+ Panamá.</t>
  </si>
  <si>
    <t xml:space="preserve">Propuesta de Mecanismo financiero de captación, administración y distribución de fondos
</t>
  </si>
  <si>
    <t xml:space="preserve">Propuesta de Diseño de mecanismo financiero REDD+ Panamá
</t>
  </si>
  <si>
    <t xml:space="preserve">Producto 3.1:  Conocimiento básico generado para establecer niveles de referencia / niveles de emisiones de referencia (RL/REL). </t>
  </si>
  <si>
    <t>Analizadas las opciones metodológicas y estimaciones preliminares de los niveles de emisiones de referencia RL/REL nacionales, con técnicos de la ANAM, de instituciones públicas y privadas relacionadas al tema, ONG´s, entidades académicas, los PI y otros actores claves.</t>
  </si>
  <si>
    <t xml:space="preserve">3.1.2 Elaborar el mapa de cambios históricos de cobertura boscosa, y generar las matrices de transición a nivel nacional. </t>
  </si>
  <si>
    <t>Elaborar el mapa de cambios históricos de cobertura boscosa de las comarcas y territorios colectivos de los pueblos indígenas.</t>
  </si>
  <si>
    <t>Incluido en subtotal Producto 4.1</t>
  </si>
  <si>
    <t>Capacitar y transferir conocimientos a dos (2) técnicos de cada una de las 12 estructuras, comarcas y territorios colectivos indígenas sobre el Sistema Nacional de Monitoreo Forestal (SNMF).</t>
  </si>
  <si>
    <t>Equipo de 24 técnicos de campo constituido con manual de procedimientos y funciones para mantener los diferentes componenetes del SNMF.</t>
  </si>
  <si>
    <t>Memorias de talleres de capacitación.</t>
  </si>
  <si>
    <r>
      <t xml:space="preserve">10,000 </t>
    </r>
    <r>
      <rPr>
        <sz val="10"/>
        <rFont val="Arial"/>
        <family val="2"/>
      </rPr>
      <t>incluidos en subtotal Producto 4.1</t>
    </r>
  </si>
  <si>
    <t>Presupuesto asignado por ANAM para la operación del SNMF.</t>
  </si>
  <si>
    <t xml:space="preserve">4.1.1.1 Diseñar y poner en marcha el Geo-Portal del SNMF </t>
  </si>
  <si>
    <t xml:space="preserve">Documento de diseño de la base de datos geográficos con  especificaciones y guías.
Documento de diseño del Geo-Portal.
Manual para el usuario (on-line)
Versión “beta” del Geo-Portal online, y con por lo menos 10 capas de información relevante para REDD+.
Infraestructura física (hardware y software) instalada e institucionalizada.
# de administradores capacitados en manejo de la base de datos y el Geo-Portal
# de técnicos SIG de ANAM capacitados en manejo e incorporación de nueva información en la base de datos y Geo-Portal
# de usuarios capacitados en el uso del Geo-Portal 
</t>
  </si>
  <si>
    <t>Navegar en el Geo-Portal y accesar a la información del SNMF.</t>
  </si>
  <si>
    <t>Incluido en subtotal del Subproducto 1</t>
  </si>
  <si>
    <t>4.1.1.3 Elaborar el mapa de cobertura boscosa y uso de la tierra actualizado al año 2012                                                                             • Adquirir imágenes de satélite, incluidas especificaciones técnicas
• Generar mosaicos (resolución original y generalizada a 30 m para distribución general) de las imágenes de satélite
• Pre-procesar y organizar las imágenes de satélite
• Identificar y recopilar información  secundaria para apoyar la generación del mapa
• Desarrollar la metodología para la interpretación de las imágenes de satélite, incluyendo validación de campo
• Definir metodología para control de calidad y estimación de incertidumbre del mapa
• Definir áreas de entrenamiento en campo para la clasificación
• Capacitar personal técnico nacional en el uso y aplicación de software de Sistemas de Información Geográfica (SIG y para procesamiento de imágenes de satélite)
• Clasificar e interpretar las imágenes de satélite 
• Evaluar la calidad de la clasificación y del mapa final
• Elaborar informes y productos digitales finales.
• Diseñar productos para impresión</t>
  </si>
  <si>
    <t>Nuevo mapa de cobertura y uso de la tierra para Panamá al año 2012 disponible en formato digital.
Documentos técnicos que describen los procesos,  métodos y guías aplicados para la elaboración del mapa, y una evaluación de la incertidumbre del mapa
Imágenes de satélite de resolución de 5m  de 2012 disponibles para instituciones gubernamentales nacionales
Mosaico digital de las imágenes de satélite
 Diseño de una publicación impresa  / Preparación y  financiamiento de la publicación a cargo de ANAM</t>
  </si>
  <si>
    <t>Mapa disponible en la página web de REDD+ y en el SNMF.
Memorias de cursos de capacitación</t>
  </si>
  <si>
    <t xml:space="preserve">• Capacitar a uno o dos especialistas indígenas en el proceso de aplicación de la metodología empleada para la elaboración del mapa de cobertura boscosa y uso de la tierra 2012, y aplicaciones específicas para territorios indígenas.                                </t>
  </si>
  <si>
    <t>4.1.1.5 Diseñar e implementar la fase piloto del Inventario Nacional Forestal y de Carbono. Incluye capacitación de funcionarios y actores clave</t>
  </si>
  <si>
    <t>Incluido en subtotal del Subproducto 2</t>
  </si>
  <si>
    <t xml:space="preserve">4.1.1.7 Evaluar distintos modelos para la estimación de biomasa y carbono considerados, seleccionados, e incorporados en el sistema de procesamiento de datos / Evaluar la aplicabilidad en Panamá de ecuaciones alométricas existentes y definir cuál o cuáles se deben utilizar para estimar biomasa y carbono, así como identificar vacíos y elaborar un plan de cómo mejorar las estimaciones de biomasa y carbono.
</t>
  </si>
  <si>
    <t>Incluido en subtotal del Subproducto 3</t>
  </si>
  <si>
    <t xml:space="preserve">Informe específico sobre Salvaguardas / </t>
  </si>
  <si>
    <t>4.2.2 Identificar en forma participativa las salvaguaradas REDD+ Panamá,  consideradas como esenciales  por los diferentes actores sociales, especialmente PI y comunidades dependientes del bosque.</t>
  </si>
  <si>
    <t>Identificadas y acordadas, las principales salvaguardas, en el Taller de Concertación.</t>
  </si>
  <si>
    <t>4.2.3 Identificar en forma participativa las salvaguaradas REDD+ Panamá,  consideradas como esenciales  por los PI.</t>
  </si>
  <si>
    <t>4.2.4 Integrar en el borrador de la Estrategia Nacional REDD+ Panamá un sistema de Salvaguardas REDD+ adaptadas a la situación de Panamá y consensuadas con los principales actores sociales.</t>
  </si>
  <si>
    <t>(3)</t>
  </si>
  <si>
    <t>Notas:</t>
  </si>
  <si>
    <r>
      <rPr>
        <b/>
        <sz val="10"/>
        <color theme="1"/>
        <rFont val="Arial"/>
        <family val="2"/>
      </rPr>
      <t xml:space="preserve">SUPUESTO: </t>
    </r>
    <r>
      <rPr>
        <sz val="10"/>
        <color theme="1"/>
        <rFont val="Arial"/>
        <family val="2"/>
      </rPr>
      <t xml:space="preserve">
Se cuenta con un acuerdo resultado del proceso de Diálogo/Construcción/Transformación, entre COONAPIP, ANAM durante 2013 y al que se integra ONUREDD que establece las normas de trabajo de las tres partes durante el año 2014 para que los Pueblos indígenas sean actores centrales y sustanciales del proceso de participación para la elaboración de un borrador de Estrategia Nacional REDD+ Panamá.   
Los otros actores clave (afrodescendientes y comunidades campesinas) mantienen su interés de participar en el proceso REDD+ 
</t>
    </r>
    <r>
      <rPr>
        <b/>
        <sz val="10"/>
        <color theme="1"/>
        <rFont val="Arial"/>
        <family val="2"/>
      </rPr>
      <t>RIESGO:</t>
    </r>
    <r>
      <rPr>
        <sz val="10"/>
        <color theme="1"/>
        <rFont val="Arial"/>
        <family val="2"/>
      </rPr>
      <t xml:space="preserve"> 
El cambio de gobierno que las elecciones de mayo de 2014 genera cambios profundos en la dirección de ANAM y/o retrasos considerables en la ejecución del Programa, tal como ya ocurrió en el 2009 y 2010.  (ver resultados de evaluación de medio término)</t>
    </r>
  </si>
  <si>
    <t>TOTAL PROGRAMABLE</t>
  </si>
  <si>
    <t>COMPONENTE 4: Sistema Nacional de Monitoreo Forestal institucionalizado, operativo y sostenible, capaz de generar la información requerida para la gestión forestal,  incluyendo REDD+  y de información sobre las salvaguardas</t>
  </si>
  <si>
    <t>1.1.1  Establecimiento de consenso sobre las reglas, normas y necesidades para la participación de los PI en las siguientes fases del proceso Diálogo/Construcción/Transformación en condiciones de igualdad/transparencia/respeto, respecto a la ejecución de la extension del PNC</t>
  </si>
  <si>
    <t xml:space="preserve">1.2.1  Completar el proceso de Escucha Activa hasta tener un  Prediagnóstico Percibido sobre la situación del bosque en Panamá que resuma los resultados de  </t>
  </si>
  <si>
    <t>Producto 1.4  Fortalecimiento de capacidades e intercambio de saberes con las comunidades destinatarias del programa REDD+</t>
  </si>
  <si>
    <t>Proceso de escucha activa en las 12 estructuras, comarcas y  territorios indígenas de Panamá, con al menos 18 talleres coordinados con COONAPIP.18 talleres, al menos uno en cada uno de los 12 territorios de los 7 Pueblos Indígenas de Panamá</t>
  </si>
  <si>
    <t>1.5.2 Investigación, evaluación medio término y evaluación final</t>
  </si>
  <si>
    <t>(1) Apoyo presupuesto administrado por FAO al proceso de consulta y participación indígena, por un monto de US$ 50,0000</t>
  </si>
  <si>
    <t>(2) Incluye costos de gestión de fondos administrados por FAO ya comprometidos para ejecución en 2013 y 2014</t>
  </si>
  <si>
    <t xml:space="preserve"> (2)</t>
  </si>
  <si>
    <t>PNUMA</t>
  </si>
  <si>
    <t>FAO</t>
  </si>
  <si>
    <t>Contribuciones por agencia</t>
  </si>
  <si>
    <r>
      <rPr>
        <b/>
        <sz val="10"/>
        <rFont val="Arial"/>
        <family val="2"/>
      </rPr>
      <t>8,000</t>
    </r>
    <r>
      <rPr>
        <sz val="10"/>
        <rFont val="Arial"/>
        <family val="2"/>
      </rPr>
      <t xml:space="preserve">
incluidos en subtotal del Subproducto 1</t>
    </r>
  </si>
  <si>
    <r>
      <t xml:space="preserve">
</t>
    </r>
    <r>
      <rPr>
        <b/>
        <sz val="10"/>
        <rFont val="Arial"/>
        <family val="2"/>
      </rPr>
      <t xml:space="preserve">          10,000</t>
    </r>
    <r>
      <rPr>
        <sz val="10"/>
        <rFont val="Arial"/>
        <family val="2"/>
      </rPr>
      <t xml:space="preserve">
</t>
    </r>
    <r>
      <rPr>
        <b/>
        <sz val="10"/>
        <rFont val="Arial"/>
        <family val="2"/>
      </rPr>
      <t xml:space="preserve">
          52,000</t>
    </r>
    <r>
      <rPr>
        <sz val="10"/>
        <rFont val="Arial"/>
        <family val="2"/>
      </rPr>
      <t xml:space="preserve">
Montos incluidos en subtotal del Subproducto 2
</t>
    </r>
  </si>
  <si>
    <t>2012 y 2013</t>
  </si>
  <si>
    <t>Subcomponente 1  del SNMF: Sistema Satelital de Monitoreo de la Tierra</t>
  </si>
  <si>
    <t>Subcomponente 2  del SNMF: Inventario Nacional Forestal y de  Carbono</t>
  </si>
  <si>
    <t>Subcomponente 3  del SNMF: Inventario de Gases de Efecto Invernadero (I-GEI)</t>
  </si>
  <si>
    <t>PRODUCTOS Y ACTIVIDADES INDICATIVAS (Nota 1)</t>
  </si>
  <si>
    <t>PRESUPUESTO POR AÑO (Nota 2)</t>
  </si>
  <si>
    <t>1.4.4 Fortalecer las capacidades de dos (2) técnicos por cada uno de los Congresos y Consejos, y de funcionarios de ANAM y ONUREDD entre otros (Nota 3).</t>
  </si>
  <si>
    <r>
      <t xml:space="preserve">(Nota 1) En </t>
    </r>
    <r>
      <rPr>
        <b/>
        <i/>
        <sz val="10"/>
        <color theme="1"/>
        <rFont val="Arial"/>
        <family val="2"/>
      </rPr>
      <t>itálica</t>
    </r>
    <r>
      <rPr>
        <b/>
        <sz val="10"/>
        <color theme="1"/>
        <rFont val="Arial"/>
        <family val="2"/>
      </rPr>
      <t xml:space="preserve"> se señalan los productos que fueron generados bajo el marco de resultados actual cuya contribución al nuevo marco resulta de vital importancia. </t>
    </r>
  </si>
  <si>
    <t>(Nota 2) El presupuesto corresponde al remanente del programa ONUREDD Panamá.</t>
  </si>
  <si>
    <t>(Nota 3) Financiamiento de participación de funcionarios de ANAM y ONUREDD no incluidos en esta líneas de presupuesto.</t>
  </si>
  <si>
    <t>(Nota 5) Incluye costos de gestión de fondos administrados por FAO ya comprometidos para ejecución en 2013 y 2014</t>
  </si>
  <si>
    <t>Costos de gestión (7%)  (Nota 5)</t>
  </si>
  <si>
    <t xml:space="preserve">Documento de diseño preliminar con manuales, guías y formularios de campo
Documento con diseño preliminar de protocolo de propiedad intelectual  sobre especies floristicas que incluyen plantas medicinales indígenas consensuados entre COONAPIP y ANAM (consultoría en el marco de ONUREDD Panamá y validación sujeta a fondos adicionales)
Datos levantados y analizados de 50 unidades (Nota 4) de muestreo (UM) de la fase piloto; de éstas, al menos 25 UM serán contratadas a empresas para levantamiento:
   - 13 UM contratadas a empresas indígenas
   - 12 UM contratadas en áreas no indígenas
Documento técnico con análisis de resultados de la fase piloto y una evaluación de todos los requerimientos para el diseño final y ejecución del inventario. 
Base de datos de especies arbóreas de Panamá elaborada
Enriquecida e incrementada la colección del Herbario de la Universidad de Panamá con las especies arbóreas recolectadas durante el INFC y capacitado personal en técnicas de herbario, procesamiento y digitalización de muestras botánicas
# de técnicos de ANAM capacitados para la administración de la base de datos del inventario.
# de técnicos capacitados (ANAM, empresas forestales y pueblos indígenas) en la metodología y levantamiento de datos para el INFC 
</t>
  </si>
  <si>
    <t>(Nota 4) 50 UM incluyen 6 que se levantarán con presupuesto de ANAM.</t>
  </si>
  <si>
    <r>
      <rPr>
        <b/>
        <sz val="10"/>
        <rFont val="Arial"/>
        <family val="2"/>
      </rPr>
      <t>SUPUESTO:</t>
    </r>
    <r>
      <rPr>
        <sz val="10"/>
        <rFont val="Arial"/>
        <family val="2"/>
      </rPr>
      <t xml:space="preserve"> 
Los actores claves utilizan el canal de transparencia, de una forma activa y efectiva  enriqueciendo el debate de temas claves en la preparación de la Estrategia REDD+ /  
Los medios donde labora el/la periodista invitado/da, publican el reportaje sobre el tema REDD+.</t>
    </r>
  </si>
  <si>
    <r>
      <rPr>
        <b/>
        <sz val="10"/>
        <rFont val="Arial"/>
        <family val="2"/>
      </rPr>
      <t>SUPUESTO:</t>
    </r>
    <r>
      <rPr>
        <sz val="10"/>
        <rFont val="Arial"/>
        <family val="2"/>
      </rPr>
      <t xml:space="preserve"> Se involucra a representantes de las comunidades dependientes de los bosques para la identificación de canales y medios durante el proceso de Escucha Activa.     Se conforma un equipo técnico con representantes de las comunidades para la elaboración de los materiales y desarrollo de capacidades. 
            </t>
    </r>
  </si>
  <si>
    <r>
      <rPr>
        <b/>
        <sz val="10"/>
        <color theme="1"/>
        <rFont val="Arial"/>
        <family val="2"/>
      </rPr>
      <t>RIESGO:</t>
    </r>
    <r>
      <rPr>
        <sz val="10"/>
        <color theme="1"/>
        <rFont val="Arial"/>
        <family val="2"/>
      </rPr>
      <t xml:space="preserve">
ANAM no continúa alimentando y actualizando el Geo-Portal</t>
    </r>
  </si>
  <si>
    <r>
      <rPr>
        <b/>
        <sz val="10"/>
        <color theme="1"/>
        <rFont val="Arial"/>
        <family val="2"/>
      </rPr>
      <t>SUPUESTO:</t>
    </r>
    <r>
      <rPr>
        <sz val="10"/>
        <color theme="1"/>
        <rFont val="Arial"/>
        <family val="2"/>
      </rPr>
      <t xml:space="preserve">
Se logra levantar información de suficientes unidades de muestreo para realizar el diseño final del Inventario Nacional Forestal y de Carbono.
</t>
    </r>
    <r>
      <rPr>
        <b/>
        <sz val="10"/>
        <color theme="1"/>
        <rFont val="Arial"/>
        <family val="2"/>
      </rPr>
      <t>RIESGO:</t>
    </r>
    <r>
      <rPr>
        <sz val="10"/>
        <color theme="1"/>
        <rFont val="Arial"/>
        <family val="2"/>
      </rPr>
      <t xml:space="preserve">
No se obtienen fondos adicionales para finalizar el Inventario Nacional Forestal y de Carbono. No se obtienen fondos para realizar remediciones en el futuro.</t>
    </r>
  </si>
  <si>
    <t>Ejecutado en su mayor parte</t>
  </si>
  <si>
    <r>
      <rPr>
        <b/>
        <sz val="10"/>
        <color theme="1"/>
        <rFont val="Arial"/>
        <family val="2"/>
      </rPr>
      <t>SUPUESTO:</t>
    </r>
    <r>
      <rPr>
        <sz val="10"/>
        <color theme="1"/>
        <rFont val="Arial"/>
        <family val="2"/>
      </rPr>
      <t xml:space="preserve">
La Mesa Nacional REDD se conforma como base para la discusión de opciones para el marco legal.
</t>
    </r>
    <r>
      <rPr>
        <b/>
        <sz val="10"/>
        <color theme="1"/>
        <rFont val="Arial"/>
        <family val="2"/>
      </rPr>
      <t>RIESGO:</t>
    </r>
    <r>
      <rPr>
        <sz val="10"/>
        <color theme="1"/>
        <rFont val="Arial"/>
        <family val="2"/>
      </rPr>
      <t xml:space="preserve">
El debate se poliza alrededor del tema de la propiedad del carbono.</t>
    </r>
  </si>
  <si>
    <r>
      <rPr>
        <b/>
        <sz val="10"/>
        <color theme="1"/>
        <rFont val="Arial"/>
        <family val="2"/>
      </rPr>
      <t>SUPUESTO:</t>
    </r>
    <r>
      <rPr>
        <sz val="10"/>
        <color theme="1"/>
        <rFont val="Arial"/>
        <family val="2"/>
      </rPr>
      <t xml:space="preserve">
La Mesa Nacional REDD se conforma como base para la discusión de opciones para el mecanismo financiero.</t>
    </r>
  </si>
  <si>
    <r>
      <t xml:space="preserve">SUPUESTO:
</t>
    </r>
    <r>
      <rPr>
        <sz val="10"/>
        <color theme="1"/>
        <rFont val="Arial"/>
        <family val="2"/>
      </rPr>
      <t>Se cuenta con la mayoría de los datos requeridos para realizar los análisis por lo que no se anticipan dificultades para obtener los productos.</t>
    </r>
    <r>
      <rPr>
        <b/>
        <sz val="10"/>
        <color theme="1"/>
        <rFont val="Arial"/>
        <family val="2"/>
      </rPr>
      <t xml:space="preserve">
RIESGO:
</t>
    </r>
    <r>
      <rPr>
        <sz val="10"/>
        <color theme="1"/>
        <rFont val="Arial"/>
        <family val="2"/>
      </rPr>
      <t>Se politiza la discusión en el ámbito de la Mesa Nacional REDD dificultando lograr acuerdos.</t>
    </r>
  </si>
  <si>
    <r>
      <rPr>
        <b/>
        <sz val="10"/>
        <color theme="1"/>
        <rFont val="Arial"/>
        <family val="2"/>
      </rPr>
      <t>SUPUESTO:</t>
    </r>
    <r>
      <rPr>
        <sz val="10"/>
        <color theme="1"/>
        <rFont val="Arial"/>
        <family val="2"/>
      </rPr>
      <t xml:space="preserve">
ANAM y otros actores clave participan activamente en el diseño del SNMF. 
Existen interés y voluntad en ANAM y otras instituciones para institucionalizar y fortalecer el SNMF.
</t>
    </r>
    <r>
      <rPr>
        <b/>
        <sz val="10"/>
        <color theme="1"/>
        <rFont val="Arial"/>
        <family val="2"/>
      </rPr>
      <t>RIESGO:</t>
    </r>
    <r>
      <rPr>
        <sz val="10"/>
        <color theme="1"/>
        <rFont val="Arial"/>
        <family val="2"/>
      </rPr>
      <t xml:space="preserve">
No se logra el desarrollo de las condiciones y estructuras necesarias en ANAM y otras instituciones para iniciar la institucionalización del SNMF para que se mantenga y fortalezca luego del cambio de gobierno que tendrá lugar en junio de 2014.</t>
    </r>
  </si>
  <si>
    <t>Actividad ya ejecutada</t>
  </si>
  <si>
    <t>Actividad muy avanzada</t>
  </si>
  <si>
    <r>
      <t xml:space="preserve">SUPUESTO:
</t>
    </r>
    <r>
      <rPr>
        <sz val="10"/>
        <color theme="1"/>
        <rFont val="Arial"/>
        <family val="2"/>
      </rPr>
      <t>Se dispone de personal técnico de ANAM para apoyar el desarrollo de las actividades</t>
    </r>
  </si>
  <si>
    <r>
      <t xml:space="preserve">SUPUESTO:
</t>
    </r>
    <r>
      <rPr>
        <sz val="10"/>
        <color theme="1"/>
        <rFont val="Arial"/>
        <family val="2"/>
      </rPr>
      <t xml:space="preserve">El proceso de consulta y participación ofrece el espacio adecuado para la discusión el debate necesarios.
</t>
    </r>
    <r>
      <rPr>
        <b/>
        <sz val="10"/>
        <color theme="1"/>
        <rFont val="Arial"/>
        <family val="2"/>
      </rPr>
      <t>RIESGO:</t>
    </r>
    <r>
      <rPr>
        <sz val="10"/>
        <color theme="1"/>
        <rFont val="Arial"/>
        <family val="2"/>
      </rPr>
      <t xml:space="preserve">
El debate y discusión se politizan y dificultan/imposibilitan el logro de  consensos y acuerdos.
</t>
    </r>
  </si>
  <si>
    <t>Informes de evaluaciones.</t>
  </si>
  <si>
    <t xml:space="preserve">Informe técnico sobre REDD+: Aspectos legales relativos a su aplicación en Panamá. </t>
  </si>
  <si>
    <t>Informe técnico sobre las causas actuales y futuras de la deforestación en Panamá</t>
  </si>
  <si>
    <t>Informe técnico sobre el impacto de las políticas y programas en el proceso de deforestación en Panamá.</t>
  </si>
  <si>
    <t>Informe técnico sobre la estimación y análisis de los costos de oportunidad por trayectorias de usos de la tierra en Panamá.</t>
  </si>
  <si>
    <t xml:space="preserve">2.1.4 Estimar y analizar los costos de oportunidad por trayectorias de usos de la tierra en Panamá / Incluye talleres de consulta </t>
  </si>
  <si>
    <t>2014 / 2015</t>
  </si>
  <si>
    <t>Documento marco del SNMF con todos sus componentes, cubriendo aspectos técnicos, institucionales y financieros, con un resumen de experiencias y lecciones aprendidas y con recomendaciones para la institucionalización e implementación.
Equipo(s) técnico(s) constituido(s) con manual de procedimientos y funciones para mantener los diferentes componentes del SNMF, incluyendo técnicos de PI.
Iniciada la gestión de recursos por parte de ANAM y otras instituciones para la operación del SNMF.</t>
  </si>
  <si>
    <t>Identificadas y acordadas las principales salvaguardas con los diferentes actores sociales, en especial los PI y las comunidades dependientes de los bosques.</t>
  </si>
  <si>
    <t>Programable</t>
  </si>
  <si>
    <t xml:space="preserve"> NUEVO MARCO DE RESULTADOS Y MONITOREO PROPUESTO</t>
  </si>
  <si>
    <t xml:space="preserve">PRODUCTOS Y ACTIVIDADES INDICATIVAS </t>
  </si>
  <si>
    <t xml:space="preserve">PRESUPUESTO POR AÑO </t>
  </si>
  <si>
    <t>NUEVO MARCO DE RESULTADOS Y MONITOREO PROPUESTO</t>
  </si>
  <si>
    <t xml:space="preserve">      30 entrevistas en profundidad con actores públicos, privados, 
      ONGs, organizaciones internacionales, academia e investigadores, entre otros.</t>
  </si>
  <si>
    <t xml:space="preserve">       Proceso de escucha activa en las 12 estructuras, comarcas y  territorios indígenas
       de Panamá, con al menos 18 talleres coordinados con COONAPIP.</t>
  </si>
  <si>
    <t xml:space="preserve">      Proceso de escucha activa con comunidades afrodescendientes, al menos  5
        talleres.</t>
  </si>
  <si>
    <t xml:space="preserve">     Proceso de escucha activa con comunidades con comunidades campesinas, al 
       menos  6 talleres.</t>
  </si>
  <si>
    <t xml:space="preserve">      Proceso de escucha activa en las 12 estructuras, comarcas y  
      territorios indígenas de Panamá, con al menos 18 talleres 
      coordinados con COONAPIP.</t>
  </si>
  <si>
    <t xml:space="preserve">      Proceso de escucha activa con comunidades 
       afrodescendientes, al menos  5 talleres.</t>
  </si>
  <si>
    <t xml:space="preserve">    Proceso de escucha activa con comunidades con
    comunidades campesinas, al menos  6 talleres.</t>
  </si>
  <si>
    <t xml:space="preserve">     30 entrevistas en profundidad con actores públicos, privados, 
     ONGs, organizaciones internacionales, academia e 
       investigadores, entre otros.</t>
  </si>
  <si>
    <t xml:space="preserve">COMPONENTE 3:  Niveles de referencia / niveles de emisiones de referencia (RL/REL) establecidos y capacidad técnica para realizar revisiones periódicas. </t>
  </si>
  <si>
    <t xml:space="preserve">COMPONENTE 3: Niveles de referencia / niveles de emisiones de referencia (RL/REL) establecidos y capacidad técnica para realizar revisiones periódicas. </t>
  </si>
  <si>
    <t>INDICADORES DE IMPACTO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</si>
</sst>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36" x14ac:knownFonts="1">
    <font>
      <sz val="11"/>
      <color theme="1"/>
      <name val="Calibri"/>
      <family val="2"/>
      <scheme val="minor"/>
    </font>
    <font>
      <b/>
      <sz val="10"/>
      <color theme="1"/>
      <name val="Arial"/>
      <family val="2"/>
    </font>
    <font>
      <sz val="10"/>
      <name val="Arial"/>
      <family val="2"/>
    </font>
    <font>
      <sz val="10"/>
      <color theme="1"/>
      <name val="Arial"/>
      <family val="2"/>
    </font>
    <font>
      <sz val="10"/>
      <color rgb="FFFF0000"/>
      <name val="Arial"/>
      <family val="2"/>
    </font>
    <font>
      <b/>
      <sz val="10"/>
      <name val="Arial"/>
      <family val="2"/>
    </font>
    <font>
      <sz val="10"/>
      <color indexed="8"/>
      <name val="Arial"/>
      <family val="2"/>
    </font>
    <font>
      <b/>
      <sz val="10"/>
      <color theme="0"/>
      <name val="Arial"/>
      <family val="2"/>
    </font>
    <font>
      <i/>
      <sz val="10"/>
      <name val="Arial"/>
      <family val="2"/>
    </font>
    <font>
      <i/>
      <sz val="10"/>
      <color theme="1"/>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name val="Calibri"/>
      <family val="2"/>
      <scheme val="minor"/>
    </font>
    <font>
      <b/>
      <sz val="10"/>
      <color indexed="9"/>
      <name val="Calibri"/>
      <family val="2"/>
      <scheme val="minor"/>
    </font>
    <font>
      <b/>
      <sz val="10"/>
      <name val="Calibri"/>
      <family val="2"/>
      <scheme val="minor"/>
    </font>
    <font>
      <sz val="10"/>
      <color theme="1"/>
      <name val="Calibri"/>
      <family val="2"/>
      <scheme val="minor"/>
    </font>
    <font>
      <b/>
      <i/>
      <sz val="10"/>
      <color theme="1"/>
      <name val="Calibri"/>
      <family val="2"/>
      <scheme val="minor"/>
    </font>
    <font>
      <b/>
      <i/>
      <sz val="10"/>
      <name val="Calibri"/>
      <family val="2"/>
      <scheme val="minor"/>
    </font>
    <font>
      <sz val="11"/>
      <color indexed="8"/>
      <name val="Calibri"/>
      <family val="2"/>
    </font>
    <font>
      <b/>
      <sz val="10"/>
      <color theme="0"/>
      <name val="Calibri"/>
      <family val="2"/>
      <scheme val="minor"/>
    </font>
    <font>
      <sz val="10"/>
      <color theme="0"/>
      <name val="Calibri"/>
      <family val="2"/>
      <scheme val="minor"/>
    </font>
    <font>
      <sz val="11"/>
      <name val="Calibri"/>
      <family val="2"/>
      <scheme val="minor"/>
    </font>
    <font>
      <sz val="9"/>
      <name val="Calibri"/>
      <family val="2"/>
      <scheme val="minor"/>
    </font>
    <font>
      <i/>
      <sz val="9"/>
      <name val="Calibri"/>
      <family val="2"/>
      <scheme val="minor"/>
    </font>
    <font>
      <b/>
      <sz val="9"/>
      <name val="Calibri"/>
      <family val="2"/>
      <scheme val="minor"/>
    </font>
    <font>
      <i/>
      <sz val="9"/>
      <color theme="1"/>
      <name val="Calibri"/>
      <family val="2"/>
      <scheme val="minor"/>
    </font>
    <font>
      <sz val="9"/>
      <color theme="1"/>
      <name val="Calibri"/>
      <family val="2"/>
      <scheme val="minor"/>
    </font>
    <font>
      <b/>
      <sz val="9"/>
      <color indexed="81"/>
      <name val="Tahoma"/>
      <family val="2"/>
    </font>
    <font>
      <sz val="9"/>
      <color indexed="81"/>
      <name val="Tahoma"/>
      <family val="2"/>
    </font>
    <font>
      <b/>
      <i/>
      <sz val="10"/>
      <color theme="1"/>
      <name val="Arial"/>
      <family val="2"/>
    </font>
    <font>
      <b/>
      <sz val="10"/>
      <color rgb="FFFF0000"/>
      <name val="Arial"/>
      <family val="2"/>
    </font>
    <font>
      <b/>
      <sz val="11"/>
      <name val="Calibri"/>
      <family val="2"/>
      <scheme val="minor"/>
    </font>
    <font>
      <b/>
      <sz val="11"/>
      <color theme="1"/>
      <name val="Arial"/>
      <family val="2"/>
    </font>
    <font>
      <sz val="10"/>
      <color rgb="FFFF0000"/>
      <name val="Calibri"/>
      <family val="2"/>
      <scheme val="minor"/>
    </font>
    <font>
      <b/>
      <sz val="11"/>
      <name val="Arial"/>
      <family val="2"/>
    </font>
  </fonts>
  <fills count="1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FFFF00"/>
        <bgColor indexed="64"/>
      </patternFill>
    </fill>
    <fill>
      <patternFill patternType="solid">
        <fgColor rgb="FF669900"/>
        <bgColor indexed="64"/>
      </patternFill>
    </fill>
    <fill>
      <patternFill patternType="solid">
        <fgColor rgb="FF99CC00"/>
        <bgColor indexed="64"/>
      </patternFill>
    </fill>
    <fill>
      <patternFill patternType="solid">
        <fgColor rgb="FFFFC000"/>
        <bgColor indexed="64"/>
      </patternFill>
    </fill>
    <fill>
      <patternFill patternType="solid">
        <fgColor rgb="FF00B0F0"/>
        <bgColor indexed="64"/>
      </patternFill>
    </fill>
    <fill>
      <patternFill patternType="solid">
        <fgColor rgb="FF7030A0"/>
        <bgColor indexed="64"/>
      </patternFill>
    </fill>
    <fill>
      <patternFill patternType="solid">
        <fgColor theme="9" tint="-0.249977111117893"/>
        <bgColor indexed="64"/>
      </patternFill>
    </fill>
    <fill>
      <patternFill patternType="solid">
        <fgColor rgb="FF00CC00"/>
        <bgColor indexed="64"/>
      </patternFill>
    </fill>
    <fill>
      <patternFill patternType="solid">
        <fgColor theme="0" tint="-0.14999847407452621"/>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style="medium">
        <color auto="1"/>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auto="1"/>
      </top>
      <bottom/>
      <diagonal/>
    </border>
    <border>
      <left style="thin">
        <color auto="1"/>
      </left>
      <right/>
      <top style="medium">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auto="1"/>
      </right>
      <top style="medium">
        <color auto="1"/>
      </top>
      <bottom style="thin">
        <color auto="1"/>
      </bottom>
      <diagonal/>
    </border>
    <border>
      <left/>
      <right style="medium">
        <color indexed="64"/>
      </right>
      <top style="thin">
        <color auto="1"/>
      </top>
      <bottom style="thin">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style="medium">
        <color auto="1"/>
      </top>
      <bottom/>
      <diagonal/>
    </border>
    <border>
      <left style="medium">
        <color indexed="64"/>
      </left>
      <right style="thin">
        <color auto="1"/>
      </right>
      <top/>
      <bottom style="thin">
        <color auto="1"/>
      </bottom>
      <diagonal/>
    </border>
    <border>
      <left style="medium">
        <color indexed="64"/>
      </left>
      <right style="medium">
        <color indexed="64"/>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thin">
        <color auto="1"/>
      </left>
      <right style="medium">
        <color indexed="64"/>
      </right>
      <top/>
      <bottom style="medium">
        <color indexed="64"/>
      </bottom>
      <diagonal/>
    </border>
  </borders>
  <cellStyleXfs count="5">
    <xf numFmtId="0" fontId="0" fillId="0" borderId="0"/>
    <xf numFmtId="164" fontId="10" fillId="0" borderId="0" applyFont="0" applyFill="0" applyBorder="0" applyAlignment="0" applyProtection="0"/>
    <xf numFmtId="0" fontId="19" fillId="0" borderId="0"/>
    <xf numFmtId="0" fontId="19" fillId="0" borderId="0"/>
    <xf numFmtId="0" fontId="19" fillId="0" borderId="0"/>
  </cellStyleXfs>
  <cellXfs count="525">
    <xf numFmtId="0" fontId="0" fillId="0" borderId="0" xfId="0"/>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2" fillId="0" borderId="1" xfId="0" applyFont="1" applyFill="1" applyBorder="1" applyAlignment="1">
      <alignment horizontal="left" vertical="center" wrapText="1"/>
    </xf>
    <xf numFmtId="0" fontId="3" fillId="2" borderId="5" xfId="0" applyFont="1" applyFill="1" applyBorder="1" applyAlignment="1">
      <alignment vertical="center" wrapText="1"/>
    </xf>
    <xf numFmtId="0" fontId="2" fillId="3"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3" borderId="1" xfId="0" applyFont="1" applyFill="1" applyBorder="1" applyAlignment="1">
      <alignment vertical="center" wrapText="1"/>
    </xf>
    <xf numFmtId="0" fontId="7" fillId="7" borderId="13" xfId="0" applyFont="1" applyFill="1" applyBorder="1" applyAlignment="1">
      <alignment horizontal="center" wrapText="1"/>
    </xf>
    <xf numFmtId="0" fontId="1" fillId="0" borderId="0" xfId="0" applyFont="1"/>
    <xf numFmtId="0" fontId="8" fillId="2" borderId="1" xfId="0" applyFont="1" applyFill="1" applyBorder="1" applyAlignment="1">
      <alignment vertical="center" wrapText="1"/>
    </xf>
    <xf numFmtId="3" fontId="1" fillId="5" borderId="2" xfId="0" applyNumberFormat="1" applyFont="1" applyFill="1" applyBorder="1" applyAlignment="1">
      <alignment horizontal="left" vertical="top" wrapText="1"/>
    </xf>
    <xf numFmtId="3" fontId="1" fillId="6" borderId="2" xfId="0" applyNumberFormat="1" applyFont="1" applyFill="1" applyBorder="1" applyAlignment="1">
      <alignment horizontal="left" vertical="top" wrapText="1"/>
    </xf>
    <xf numFmtId="3" fontId="2" fillId="2" borderId="1" xfId="0" applyNumberFormat="1" applyFont="1" applyFill="1" applyBorder="1" applyAlignment="1">
      <alignment vertical="top" wrapText="1"/>
    </xf>
    <xf numFmtId="3" fontId="5" fillId="6" borderId="2" xfId="0" applyNumberFormat="1" applyFont="1" applyFill="1" applyBorder="1" applyAlignment="1">
      <alignment horizontal="left" vertical="top" wrapText="1"/>
    </xf>
    <xf numFmtId="3" fontId="1" fillId="6" borderId="2" xfId="0" applyNumberFormat="1" applyFont="1" applyFill="1" applyBorder="1" applyAlignment="1">
      <alignment vertical="top" wrapText="1"/>
    </xf>
    <xf numFmtId="3" fontId="3" fillId="0" borderId="1" xfId="0" applyNumberFormat="1" applyFont="1" applyBorder="1" applyAlignment="1">
      <alignment vertical="top"/>
    </xf>
    <xf numFmtId="3" fontId="1" fillId="6" borderId="15" xfId="0" applyNumberFormat="1" applyFont="1" applyFill="1" applyBorder="1" applyAlignment="1">
      <alignment horizontal="left" vertical="top" wrapText="1"/>
    </xf>
    <xf numFmtId="3" fontId="1" fillId="5" borderId="7" xfId="0" applyNumberFormat="1" applyFont="1" applyFill="1" applyBorder="1" applyAlignment="1">
      <alignment horizontal="left" vertical="top" wrapText="1"/>
    </xf>
    <xf numFmtId="3" fontId="1" fillId="2" borderId="2" xfId="0" applyNumberFormat="1" applyFont="1" applyFill="1" applyBorder="1" applyAlignment="1">
      <alignment horizontal="left" vertical="top" wrapText="1"/>
    </xf>
    <xf numFmtId="3" fontId="1" fillId="0" borderId="0" xfId="0" applyNumberFormat="1" applyFont="1" applyAlignment="1">
      <alignment vertical="top"/>
    </xf>
    <xf numFmtId="3" fontId="3" fillId="0" borderId="1" xfId="0" applyNumberFormat="1" applyFont="1" applyFill="1" applyBorder="1" applyAlignment="1">
      <alignment horizontal="right" vertical="top" wrapText="1"/>
    </xf>
    <xf numFmtId="3" fontId="3" fillId="2" borderId="1" xfId="0" applyNumberFormat="1" applyFont="1" applyFill="1" applyBorder="1" applyAlignment="1">
      <alignment horizontal="right" vertical="top" wrapText="1"/>
    </xf>
    <xf numFmtId="3" fontId="3" fillId="0" borderId="1" xfId="0" applyNumberFormat="1" applyFont="1" applyBorder="1" applyAlignment="1">
      <alignment horizontal="right" vertical="top"/>
    </xf>
    <xf numFmtId="3" fontId="3" fillId="2" borderId="5" xfId="0" applyNumberFormat="1" applyFont="1" applyFill="1" applyBorder="1" applyAlignment="1">
      <alignment horizontal="right" vertical="top" wrapText="1"/>
    </xf>
    <xf numFmtId="3" fontId="3" fillId="2" borderId="20" xfId="0" applyNumberFormat="1" applyFont="1" applyFill="1" applyBorder="1" applyAlignment="1">
      <alignment horizontal="right" vertical="top" wrapText="1"/>
    </xf>
    <xf numFmtId="3" fontId="3" fillId="2" borderId="2" xfId="0" applyNumberFormat="1" applyFont="1" applyFill="1" applyBorder="1" applyAlignment="1">
      <alignment horizontal="right" vertical="top" wrapText="1"/>
    </xf>
    <xf numFmtId="3" fontId="3" fillId="0" borderId="2" xfId="0" applyNumberFormat="1" applyFont="1" applyBorder="1" applyAlignment="1">
      <alignment horizontal="right" vertical="top"/>
    </xf>
    <xf numFmtId="3" fontId="3" fillId="2" borderId="15" xfId="0" applyNumberFormat="1" applyFont="1" applyFill="1" applyBorder="1" applyAlignment="1">
      <alignment horizontal="right" vertical="top" wrapText="1"/>
    </xf>
    <xf numFmtId="1" fontId="7" fillId="7" borderId="13" xfId="0" applyNumberFormat="1" applyFont="1" applyFill="1" applyBorder="1" applyAlignment="1">
      <alignment horizontal="center" vertical="top" wrapText="1"/>
    </xf>
    <xf numFmtId="3" fontId="3" fillId="0" borderId="0" xfId="0" applyNumberFormat="1" applyFont="1" applyAlignment="1">
      <alignment vertical="top"/>
    </xf>
    <xf numFmtId="3" fontId="1" fillId="7" borderId="13" xfId="0" applyNumberFormat="1" applyFont="1" applyFill="1" applyBorder="1" applyAlignment="1">
      <alignment horizontal="center" vertical="top"/>
    </xf>
    <xf numFmtId="3" fontId="3" fillId="5" borderId="6" xfId="0" applyNumberFormat="1" applyFont="1" applyFill="1" applyBorder="1" applyAlignment="1">
      <alignment vertical="top"/>
    </xf>
    <xf numFmtId="3" fontId="3" fillId="6" borderId="1" xfId="0" applyNumberFormat="1" applyFont="1" applyFill="1" applyBorder="1" applyAlignment="1">
      <alignment vertical="top"/>
    </xf>
    <xf numFmtId="3" fontId="3" fillId="5" borderId="1" xfId="0" applyNumberFormat="1" applyFont="1" applyFill="1" applyBorder="1" applyAlignment="1">
      <alignment vertical="top"/>
    </xf>
    <xf numFmtId="3" fontId="3" fillId="0" borderId="0" xfId="0" applyNumberFormat="1" applyFont="1" applyAlignment="1">
      <alignment horizontal="right" vertical="top"/>
    </xf>
    <xf numFmtId="0" fontId="1" fillId="2" borderId="22" xfId="0" applyFont="1" applyFill="1" applyBorder="1" applyAlignment="1">
      <alignment horizontal="right" wrapText="1"/>
    </xf>
    <xf numFmtId="3" fontId="13" fillId="0" borderId="0" xfId="0" applyNumberFormat="1" applyFont="1"/>
    <xf numFmtId="3" fontId="13" fillId="0" borderId="1" xfId="0" applyNumberFormat="1" applyFont="1" applyBorder="1"/>
    <xf numFmtId="3" fontId="15" fillId="0" borderId="0" xfId="0" applyNumberFormat="1" applyFont="1"/>
    <xf numFmtId="3" fontId="13" fillId="0" borderId="1" xfId="1" applyNumberFormat="1" applyFont="1" applyFill="1" applyBorder="1" applyAlignment="1">
      <alignment vertical="center" wrapText="1"/>
    </xf>
    <xf numFmtId="3" fontId="14" fillId="9" borderId="1" xfId="0" applyNumberFormat="1" applyFont="1" applyFill="1" applyBorder="1" applyAlignment="1">
      <alignment horizontal="center" vertical="center" wrapText="1"/>
    </xf>
    <xf numFmtId="3" fontId="14" fillId="9" borderId="19" xfId="0" applyNumberFormat="1" applyFont="1" applyFill="1" applyBorder="1" applyAlignment="1">
      <alignment horizontal="center" vertical="center" wrapText="1"/>
    </xf>
    <xf numFmtId="3" fontId="14" fillId="9" borderId="13" xfId="0" applyNumberFormat="1" applyFont="1" applyFill="1" applyBorder="1" applyAlignment="1">
      <alignment horizontal="center" vertical="center" wrapText="1"/>
    </xf>
    <xf numFmtId="3" fontId="14" fillId="9" borderId="14" xfId="0" applyNumberFormat="1" applyFont="1" applyFill="1" applyBorder="1" applyAlignment="1">
      <alignment horizontal="center" vertical="center" wrapText="1"/>
    </xf>
    <xf numFmtId="3" fontId="16" fillId="0" borderId="2" xfId="0" applyNumberFormat="1" applyFont="1" applyFill="1" applyBorder="1" applyAlignment="1">
      <alignment horizontal="left" vertical="top" wrapText="1"/>
    </xf>
    <xf numFmtId="3" fontId="16" fillId="0" borderId="2" xfId="0" applyNumberFormat="1" applyFont="1" applyBorder="1" applyAlignment="1">
      <alignment vertical="top" wrapText="1"/>
    </xf>
    <xf numFmtId="3" fontId="13" fillId="0" borderId="18" xfId="0" applyNumberFormat="1" applyFont="1" applyBorder="1"/>
    <xf numFmtId="3" fontId="13" fillId="0" borderId="10" xfId="0" applyNumberFormat="1" applyFont="1" applyBorder="1"/>
    <xf numFmtId="3" fontId="13" fillId="0" borderId="11" xfId="0" applyNumberFormat="1" applyFont="1" applyBorder="1"/>
    <xf numFmtId="3" fontId="13" fillId="0" borderId="35" xfId="0" applyNumberFormat="1" applyFont="1" applyBorder="1"/>
    <xf numFmtId="3" fontId="13" fillId="0" borderId="36" xfId="0" applyNumberFormat="1" applyFont="1" applyBorder="1"/>
    <xf numFmtId="3" fontId="13" fillId="0" borderId="19" xfId="0" applyNumberFormat="1" applyFont="1" applyBorder="1"/>
    <xf numFmtId="3" fontId="13" fillId="0" borderId="13" xfId="0" applyNumberFormat="1" applyFont="1" applyBorder="1"/>
    <xf numFmtId="3" fontId="13" fillId="0" borderId="14" xfId="0" applyNumberFormat="1" applyFont="1" applyBorder="1"/>
    <xf numFmtId="3" fontId="13" fillId="0" borderId="37" xfId="0" applyNumberFormat="1" applyFont="1" applyBorder="1"/>
    <xf numFmtId="3" fontId="13" fillId="0" borderId="38" xfId="0" applyNumberFormat="1" applyFont="1" applyBorder="1"/>
    <xf numFmtId="3" fontId="13" fillId="0" borderId="39" xfId="0" applyNumberFormat="1" applyFont="1" applyBorder="1"/>
    <xf numFmtId="3" fontId="13" fillId="0" borderId="41" xfId="0" applyNumberFormat="1" applyFont="1" applyBorder="1"/>
    <xf numFmtId="3" fontId="14" fillId="9" borderId="5" xfId="0" applyNumberFormat="1" applyFont="1" applyFill="1" applyBorder="1" applyAlignment="1">
      <alignment horizontal="center" vertical="center" wrapText="1"/>
    </xf>
    <xf numFmtId="3" fontId="15" fillId="5" borderId="41" xfId="0" applyNumberFormat="1" applyFont="1" applyFill="1" applyBorder="1" applyAlignment="1">
      <alignment vertical="center"/>
    </xf>
    <xf numFmtId="3" fontId="15" fillId="5" borderId="45" xfId="0" applyNumberFormat="1" applyFont="1" applyFill="1" applyBorder="1" applyAlignment="1">
      <alignment vertical="center"/>
    </xf>
    <xf numFmtId="3" fontId="14" fillId="9" borderId="35" xfId="0" applyNumberFormat="1" applyFont="1" applyFill="1" applyBorder="1" applyAlignment="1">
      <alignment horizontal="center" vertical="center" wrapText="1"/>
    </xf>
    <xf numFmtId="3" fontId="14" fillId="9" borderId="36" xfId="0" applyNumberFormat="1" applyFont="1" applyFill="1" applyBorder="1" applyAlignment="1">
      <alignment horizontal="center" vertical="center" wrapText="1"/>
    </xf>
    <xf numFmtId="3" fontId="13" fillId="5" borderId="26" xfId="0" applyNumberFormat="1" applyFont="1" applyFill="1" applyBorder="1"/>
    <xf numFmtId="3" fontId="16" fillId="0" borderId="15" xfId="0" applyNumberFormat="1" applyFont="1" applyBorder="1" applyAlignment="1">
      <alignment vertical="top" wrapText="1"/>
    </xf>
    <xf numFmtId="3" fontId="13" fillId="0" borderId="23" xfId="0" applyNumberFormat="1" applyFont="1" applyBorder="1"/>
    <xf numFmtId="3" fontId="14" fillId="9" borderId="40" xfId="0" applyNumberFormat="1" applyFont="1" applyFill="1" applyBorder="1" applyAlignment="1">
      <alignment horizontal="center" vertical="center" wrapText="1"/>
    </xf>
    <xf numFmtId="3" fontId="14" fillId="9" borderId="15" xfId="0" applyNumberFormat="1" applyFont="1" applyFill="1" applyBorder="1" applyAlignment="1">
      <alignment horizontal="center" vertical="center" wrapText="1"/>
    </xf>
    <xf numFmtId="3" fontId="17" fillId="11" borderId="2" xfId="0" applyNumberFormat="1" applyFont="1" applyFill="1" applyBorder="1" applyAlignment="1">
      <alignment vertical="top" wrapText="1"/>
    </xf>
    <xf numFmtId="3" fontId="18" fillId="11" borderId="19" xfId="1" applyNumberFormat="1" applyFont="1" applyFill="1" applyBorder="1" applyAlignment="1">
      <alignment vertical="center"/>
    </xf>
    <xf numFmtId="3" fontId="18" fillId="11" borderId="13" xfId="1" applyNumberFormat="1" applyFont="1" applyFill="1" applyBorder="1" applyAlignment="1">
      <alignment vertical="center"/>
    </xf>
    <xf numFmtId="3" fontId="18" fillId="11" borderId="24" xfId="1" applyNumberFormat="1" applyFont="1" applyFill="1" applyBorder="1" applyAlignment="1">
      <alignment vertical="center"/>
    </xf>
    <xf numFmtId="3" fontId="13" fillId="11" borderId="13" xfId="0" applyNumberFormat="1" applyFont="1" applyFill="1" applyBorder="1"/>
    <xf numFmtId="3" fontId="13" fillId="11" borderId="14" xfId="0" applyNumberFormat="1" applyFont="1" applyFill="1" applyBorder="1"/>
    <xf numFmtId="3" fontId="13" fillId="11" borderId="39" xfId="0" applyNumberFormat="1" applyFont="1" applyFill="1" applyBorder="1"/>
    <xf numFmtId="3" fontId="20" fillId="5" borderId="2" xfId="0" applyNumberFormat="1" applyFont="1" applyFill="1" applyBorder="1" applyAlignment="1">
      <alignment horizontal="left"/>
    </xf>
    <xf numFmtId="3" fontId="21" fillId="5" borderId="2" xfId="0" applyNumberFormat="1" applyFont="1" applyFill="1" applyBorder="1" applyAlignment="1">
      <alignment vertical="top" wrapText="1"/>
    </xf>
    <xf numFmtId="3" fontId="22" fillId="0" borderId="0" xfId="0" applyNumberFormat="1" applyFont="1" applyAlignment="1">
      <alignment vertical="center"/>
    </xf>
    <xf numFmtId="3" fontId="22" fillId="8" borderId="0" xfId="0" applyNumberFormat="1" applyFont="1" applyFill="1" applyAlignment="1">
      <alignment vertical="center"/>
    </xf>
    <xf numFmtId="3" fontId="22" fillId="5" borderId="0" xfId="0" applyNumberFormat="1" applyFont="1" applyFill="1" applyAlignment="1">
      <alignment vertical="center"/>
    </xf>
    <xf numFmtId="3" fontId="22" fillId="13" borderId="0" xfId="0" applyNumberFormat="1" applyFont="1" applyFill="1" applyAlignment="1">
      <alignment vertical="center"/>
    </xf>
    <xf numFmtId="3" fontId="22" fillId="12" borderId="0" xfId="0" applyNumberFormat="1" applyFont="1" applyFill="1" applyAlignment="1">
      <alignment vertical="center"/>
    </xf>
    <xf numFmtId="3" fontId="23" fillId="0" borderId="0" xfId="0" applyNumberFormat="1" applyFont="1" applyAlignment="1">
      <alignment vertical="center"/>
    </xf>
    <xf numFmtId="3" fontId="23" fillId="8" borderId="0" xfId="0" applyNumberFormat="1" applyFont="1" applyFill="1" applyAlignment="1">
      <alignment vertical="center"/>
    </xf>
    <xf numFmtId="3" fontId="23" fillId="5" borderId="0" xfId="0" applyNumberFormat="1" applyFont="1" applyFill="1" applyAlignment="1">
      <alignment vertical="center"/>
    </xf>
    <xf numFmtId="3" fontId="23" fillId="13" borderId="0" xfId="0" applyNumberFormat="1" applyFont="1" applyFill="1" applyAlignment="1">
      <alignment vertical="center"/>
    </xf>
    <xf numFmtId="3" fontId="23" fillId="12" borderId="0" xfId="0" applyNumberFormat="1" applyFont="1" applyFill="1" applyAlignment="1">
      <alignment vertical="center"/>
    </xf>
    <xf numFmtId="3" fontId="22" fillId="8" borderId="0" xfId="0" applyNumberFormat="1" applyFont="1" applyFill="1" applyAlignment="1">
      <alignment horizontal="center" vertical="center"/>
    </xf>
    <xf numFmtId="3" fontId="25" fillId="11" borderId="33" xfId="0" applyNumberFormat="1" applyFont="1" applyFill="1" applyBorder="1" applyAlignment="1">
      <alignment horizontal="left" vertical="center"/>
    </xf>
    <xf numFmtId="3" fontId="23" fillId="11" borderId="33" xfId="0" applyNumberFormat="1" applyFont="1" applyFill="1" applyBorder="1" applyAlignment="1">
      <alignment vertical="center"/>
    </xf>
    <xf numFmtId="3" fontId="23" fillId="11" borderId="33" xfId="0" applyNumberFormat="1" applyFont="1" applyFill="1" applyBorder="1" applyAlignment="1">
      <alignment horizontal="left" vertical="center"/>
    </xf>
    <xf numFmtId="3" fontId="23" fillId="11" borderId="0" xfId="0" applyNumberFormat="1" applyFont="1" applyFill="1" applyBorder="1" applyAlignment="1">
      <alignment vertical="center"/>
    </xf>
    <xf numFmtId="0" fontId="27" fillId="11" borderId="0" xfId="0" applyFont="1" applyFill="1" applyBorder="1" applyAlignment="1">
      <alignment horizontal="left" vertical="center"/>
    </xf>
    <xf numFmtId="3" fontId="22" fillId="14" borderId="0" xfId="0" applyNumberFormat="1" applyFont="1" applyFill="1" applyAlignment="1">
      <alignment vertical="center"/>
    </xf>
    <xf numFmtId="3" fontId="23" fillId="14" borderId="0" xfId="0" applyNumberFormat="1" applyFont="1" applyFill="1" applyAlignment="1">
      <alignment vertical="center"/>
    </xf>
    <xf numFmtId="0" fontId="8" fillId="2" borderId="0" xfId="0" applyFont="1" applyFill="1" applyBorder="1" applyAlignment="1">
      <alignment vertical="center" wrapText="1"/>
    </xf>
    <xf numFmtId="0" fontId="0" fillId="10" borderId="0" xfId="0" applyFill="1"/>
    <xf numFmtId="0" fontId="0" fillId="15" borderId="0" xfId="0" applyFill="1"/>
    <xf numFmtId="0" fontId="8" fillId="2" borderId="2" xfId="0" applyFont="1" applyFill="1" applyBorder="1" applyAlignment="1">
      <alignment vertical="center" wrapText="1"/>
    </xf>
    <xf numFmtId="164" fontId="0" fillId="0" borderId="0" xfId="1" applyFont="1"/>
    <xf numFmtId="0" fontId="0" fillId="11" borderId="0" xfId="0" applyFill="1"/>
    <xf numFmtId="0" fontId="0" fillId="12" borderId="0" xfId="0" applyFill="1"/>
    <xf numFmtId="3" fontId="25" fillId="11" borderId="46" xfId="0" applyNumberFormat="1" applyFont="1" applyFill="1" applyBorder="1" applyAlignment="1">
      <alignment horizontal="right" vertical="center"/>
    </xf>
    <xf numFmtId="3" fontId="23" fillId="11" borderId="47" xfId="0" applyNumberFormat="1" applyFont="1" applyFill="1" applyBorder="1" applyAlignment="1">
      <alignment vertical="center"/>
    </xf>
    <xf numFmtId="3" fontId="25" fillId="11" borderId="33" xfId="0" applyNumberFormat="1" applyFont="1" applyFill="1" applyBorder="1" applyAlignment="1">
      <alignment horizontal="right" vertical="center"/>
    </xf>
    <xf numFmtId="3" fontId="25" fillId="11" borderId="31" xfId="0" applyNumberFormat="1" applyFont="1" applyFill="1" applyBorder="1" applyAlignment="1">
      <alignment horizontal="right" vertical="center"/>
    </xf>
    <xf numFmtId="0" fontId="0" fillId="11" borderId="48" xfId="0" applyFill="1" applyBorder="1"/>
    <xf numFmtId="3" fontId="20" fillId="12" borderId="2" xfId="0" applyNumberFormat="1" applyFont="1" applyFill="1" applyBorder="1" applyAlignment="1">
      <alignment horizontal="left"/>
    </xf>
    <xf numFmtId="0" fontId="1" fillId="11" borderId="0" xfId="0" applyFont="1" applyFill="1"/>
    <xf numFmtId="3" fontId="13" fillId="16" borderId="10" xfId="0" applyNumberFormat="1" applyFont="1" applyFill="1" applyBorder="1"/>
    <xf numFmtId="3" fontId="13" fillId="16" borderId="1" xfId="0" applyNumberFormat="1" applyFont="1" applyFill="1" applyBorder="1"/>
    <xf numFmtId="3" fontId="15" fillId="16" borderId="1" xfId="0" applyNumberFormat="1" applyFont="1" applyFill="1" applyBorder="1"/>
    <xf numFmtId="3" fontId="15" fillId="16" borderId="13" xfId="0" applyNumberFormat="1" applyFont="1" applyFill="1" applyBorder="1"/>
    <xf numFmtId="3" fontId="13" fillId="16" borderId="13" xfId="0" applyNumberFormat="1" applyFont="1" applyFill="1" applyBorder="1"/>
    <xf numFmtId="0" fontId="0" fillId="0" borderId="0" xfId="0"/>
    <xf numFmtId="0" fontId="0" fillId="0" borderId="1" xfId="0" applyBorder="1"/>
    <xf numFmtId="0" fontId="12" fillId="0" borderId="1" xfId="0" applyFont="1" applyBorder="1"/>
    <xf numFmtId="0" fontId="26" fillId="0" borderId="0" xfId="0" applyFont="1" applyBorder="1" applyAlignment="1">
      <alignment horizontal="justify" vertical="top"/>
    </xf>
    <xf numFmtId="3" fontId="24" fillId="0" borderId="49" xfId="0" applyNumberFormat="1" applyFont="1" applyBorder="1" applyAlignment="1">
      <alignment horizontal="justify" vertical="top"/>
    </xf>
    <xf numFmtId="0" fontId="0" fillId="0" borderId="16" xfId="0" applyBorder="1"/>
    <xf numFmtId="164" fontId="0" fillId="10" borderId="0" xfId="1" applyFont="1" applyFill="1"/>
    <xf numFmtId="164" fontId="0" fillId="11" borderId="0" xfId="1" applyFont="1" applyFill="1"/>
    <xf numFmtId="164" fontId="0" fillId="11" borderId="48" xfId="1" applyFont="1" applyFill="1" applyBorder="1"/>
    <xf numFmtId="164" fontId="0" fillId="15" borderId="0" xfId="1" applyFont="1" applyFill="1"/>
    <xf numFmtId="164" fontId="0" fillId="12" borderId="0" xfId="1" applyFont="1" applyFill="1"/>
    <xf numFmtId="164" fontId="0" fillId="12" borderId="48" xfId="1" applyFont="1" applyFill="1" applyBorder="1"/>
    <xf numFmtId="164" fontId="12" fillId="0" borderId="1" xfId="1" applyFont="1" applyBorder="1"/>
    <xf numFmtId="0" fontId="12" fillId="0" borderId="1" xfId="0" applyFont="1" applyFill="1" applyBorder="1"/>
    <xf numFmtId="164" fontId="11" fillId="0" borderId="1" xfId="1" applyFont="1" applyBorder="1"/>
    <xf numFmtId="164" fontId="11" fillId="0" borderId="0" xfId="1" applyFont="1"/>
    <xf numFmtId="3" fontId="3" fillId="2" borderId="22" xfId="0" applyNumberFormat="1" applyFont="1" applyFill="1" applyBorder="1" applyAlignment="1">
      <alignment horizontal="right" vertical="top" wrapText="1"/>
    </xf>
    <xf numFmtId="3" fontId="3" fillId="0" borderId="5" xfId="0" applyNumberFormat="1" applyFont="1" applyBorder="1" applyAlignment="1">
      <alignment vertical="top"/>
    </xf>
    <xf numFmtId="3" fontId="3" fillId="0" borderId="42" xfId="0" applyNumberFormat="1" applyFont="1" applyBorder="1" applyAlignment="1">
      <alignment vertical="top"/>
    </xf>
    <xf numFmtId="3" fontId="3" fillId="0" borderId="43" xfId="0" applyNumberFormat="1" applyFont="1" applyBorder="1" applyAlignment="1">
      <alignment vertical="top"/>
    </xf>
    <xf numFmtId="0" fontId="3" fillId="2" borderId="51" xfId="0" applyFont="1" applyFill="1" applyBorder="1" applyAlignment="1">
      <alignment vertical="center" wrapText="1"/>
    </xf>
    <xf numFmtId="3" fontId="3" fillId="0" borderId="49" xfId="0" applyNumberFormat="1" applyFont="1" applyBorder="1" applyAlignment="1">
      <alignment horizontal="right" vertical="top"/>
    </xf>
    <xf numFmtId="3" fontId="3" fillId="0" borderId="50" xfId="0" applyNumberFormat="1" applyFont="1" applyBorder="1" applyAlignment="1">
      <alignment horizontal="right" vertical="top"/>
    </xf>
    <xf numFmtId="0" fontId="3" fillId="2" borderId="22" xfId="0" applyFont="1" applyFill="1" applyBorder="1" applyAlignment="1">
      <alignment vertical="center" wrapText="1"/>
    </xf>
    <xf numFmtId="3" fontId="3" fillId="0" borderId="23" xfId="0" applyNumberFormat="1" applyFont="1" applyBorder="1" applyAlignment="1">
      <alignment vertical="top"/>
    </xf>
    <xf numFmtId="3" fontId="3" fillId="0" borderId="44" xfId="0" applyNumberFormat="1" applyFont="1" applyBorder="1" applyAlignment="1">
      <alignment vertical="top"/>
    </xf>
    <xf numFmtId="0" fontId="0" fillId="0" borderId="0" xfId="0"/>
    <xf numFmtId="0" fontId="2" fillId="0" borderId="1" xfId="0" applyFont="1" applyFill="1" applyBorder="1" applyAlignment="1">
      <alignment horizontal="left" vertical="center" wrapText="1"/>
    </xf>
    <xf numFmtId="0" fontId="3"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xf numFmtId="0" fontId="2" fillId="2" borderId="1"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0" fillId="0" borderId="0" xfId="0"/>
    <xf numFmtId="3" fontId="3" fillId="2" borderId="0" xfId="0" applyNumberFormat="1" applyFont="1" applyFill="1" applyBorder="1" applyAlignment="1">
      <alignment wrapText="1"/>
    </xf>
    <xf numFmtId="3" fontId="3" fillId="2" borderId="0" xfId="0" applyNumberFormat="1"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2" fillId="3" borderId="5" xfId="0" applyFont="1" applyFill="1" applyBorder="1" applyAlignment="1">
      <alignment vertical="center" wrapText="1"/>
    </xf>
    <xf numFmtId="0" fontId="0" fillId="0" borderId="0" xfId="0"/>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left" wrapText="1"/>
    </xf>
    <xf numFmtId="0" fontId="2" fillId="0" borderId="1" xfId="0" applyFont="1" applyBorder="1" applyAlignment="1">
      <alignment vertical="center" wrapText="1"/>
    </xf>
    <xf numFmtId="0" fontId="6" fillId="0" borderId="1" xfId="0" applyFont="1" applyFill="1" applyBorder="1" applyAlignment="1">
      <alignment vertical="center" wrapText="1"/>
    </xf>
    <xf numFmtId="0" fontId="2" fillId="0" borderId="1" xfId="0" applyFont="1" applyFill="1" applyBorder="1" applyAlignment="1">
      <alignment vertical="center" wrapText="1"/>
    </xf>
    <xf numFmtId="0" fontId="3" fillId="2" borderId="1" xfId="0" applyFont="1" applyFill="1" applyBorder="1" applyAlignment="1">
      <alignment vertical="center" wrapText="1"/>
    </xf>
    <xf numFmtId="0" fontId="8" fillId="2" borderId="1" xfId="0" applyFont="1" applyFill="1" applyBorder="1" applyAlignment="1">
      <alignment vertical="center" wrapText="1"/>
    </xf>
    <xf numFmtId="0" fontId="3" fillId="0" borderId="1" xfId="0" applyFont="1" applyFill="1" applyBorder="1" applyAlignment="1">
      <alignment vertical="center" wrapText="1"/>
    </xf>
    <xf numFmtId="0" fontId="0" fillId="0" borderId="0" xfId="0"/>
    <xf numFmtId="0" fontId="8"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2" fillId="0" borderId="1" xfId="0" applyFont="1" applyFill="1" applyBorder="1" applyAlignment="1">
      <alignment vertical="top" wrapText="1"/>
    </xf>
    <xf numFmtId="0" fontId="2" fillId="0" borderId="2" xfId="0" applyFont="1" applyFill="1" applyBorder="1" applyAlignment="1">
      <alignment vertical="top" wrapText="1"/>
    </xf>
    <xf numFmtId="0" fontId="3" fillId="2" borderId="1" xfId="0" applyFont="1" applyFill="1" applyBorder="1" applyAlignment="1">
      <alignment vertical="center" wrapText="1"/>
    </xf>
    <xf numFmtId="0" fontId="2" fillId="0" borderId="1" xfId="0" applyFont="1" applyFill="1" applyBorder="1" applyAlignment="1">
      <alignment vertical="center" wrapText="1"/>
    </xf>
    <xf numFmtId="0" fontId="9" fillId="2" borderId="1" xfId="0" applyFont="1" applyFill="1" applyBorder="1" applyAlignment="1">
      <alignment horizontal="left" vertical="center" wrapText="1"/>
    </xf>
    <xf numFmtId="0" fontId="2" fillId="2" borderId="3" xfId="0" applyFont="1" applyFill="1" applyBorder="1" applyAlignment="1">
      <alignment vertical="center" wrapText="1"/>
    </xf>
    <xf numFmtId="0" fontId="3" fillId="2" borderId="2" xfId="0" applyFont="1" applyFill="1" applyBorder="1" applyAlignment="1">
      <alignment wrapText="1"/>
    </xf>
    <xf numFmtId="0" fontId="2" fillId="0" borderId="2" xfId="0" applyFont="1" applyFill="1" applyBorder="1" applyAlignment="1">
      <alignment wrapText="1"/>
    </xf>
    <xf numFmtId="0" fontId="8" fillId="2" borderId="4" xfId="0" applyFont="1" applyFill="1" applyBorder="1" applyAlignment="1">
      <alignment vertical="center" wrapText="1"/>
    </xf>
    <xf numFmtId="0" fontId="2" fillId="2" borderId="4" xfId="0" applyFont="1" applyFill="1" applyBorder="1" applyAlignment="1">
      <alignment vertical="center" wrapText="1"/>
    </xf>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0" fillId="0" borderId="0" xfId="0"/>
    <xf numFmtId="0" fontId="2" fillId="2" borderId="1" xfId="0" applyFont="1" applyFill="1" applyBorder="1" applyAlignment="1">
      <alignment vertical="center" wrapText="1"/>
    </xf>
    <xf numFmtId="0" fontId="8"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0" fillId="0" borderId="0" xfId="0"/>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8" fillId="2" borderId="1" xfId="0" applyFont="1" applyFill="1" applyBorder="1" applyAlignment="1">
      <alignment vertical="center" wrapText="1"/>
    </xf>
    <xf numFmtId="0" fontId="9" fillId="2" borderId="1" xfId="0" applyFont="1" applyFill="1" applyBorder="1" applyAlignment="1">
      <alignment vertical="center" wrapText="1"/>
    </xf>
    <xf numFmtId="0" fontId="2" fillId="2" borderId="6" xfId="0" applyFont="1" applyFill="1" applyBorder="1" applyAlignment="1">
      <alignment vertical="center" wrapText="1"/>
    </xf>
    <xf numFmtId="0" fontId="3" fillId="2" borderId="0" xfId="0" applyFont="1" applyFill="1" applyAlignment="1">
      <alignment vertical="center" wrapText="1"/>
    </xf>
    <xf numFmtId="0" fontId="3" fillId="2" borderId="1" xfId="0" applyFont="1" applyFill="1" applyBorder="1" applyAlignment="1">
      <alignment vertical="top" wrapText="1"/>
    </xf>
    <xf numFmtId="0" fontId="1" fillId="2" borderId="1" xfId="0" applyFont="1" applyFill="1" applyBorder="1" applyAlignment="1">
      <alignment vertical="center" wrapText="1"/>
    </xf>
    <xf numFmtId="0" fontId="3" fillId="0" borderId="6" xfId="0" applyFont="1" applyBorder="1" applyAlignment="1">
      <alignment vertical="center" wrapText="1"/>
    </xf>
    <xf numFmtId="0" fontId="8" fillId="2" borderId="6" xfId="0" applyFont="1" applyFill="1" applyBorder="1" applyAlignment="1">
      <alignment vertical="center" wrapText="1"/>
    </xf>
    <xf numFmtId="0" fontId="3" fillId="2" borderId="0" xfId="0" applyFont="1" applyFill="1" applyAlignment="1">
      <alignment horizontal="lef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9" fillId="2" borderId="6" xfId="0" applyFont="1" applyFill="1" applyBorder="1" applyAlignment="1">
      <alignment vertical="center" wrapText="1"/>
    </xf>
    <xf numFmtId="0" fontId="3" fillId="2" borderId="2" xfId="0" applyFont="1" applyFill="1" applyBorder="1" applyAlignment="1">
      <alignment horizontal="left" vertical="center" wrapText="1"/>
    </xf>
    <xf numFmtId="0" fontId="3" fillId="0" borderId="1" xfId="0" applyFont="1" applyBorder="1" applyAlignment="1">
      <alignment vertical="top" wrapText="1"/>
    </xf>
    <xf numFmtId="0" fontId="2" fillId="2" borderId="15" xfId="0" applyFont="1" applyFill="1" applyBorder="1" applyAlignment="1">
      <alignment vertical="center" wrapText="1"/>
    </xf>
    <xf numFmtId="0" fontId="0" fillId="0" borderId="0" xfId="0"/>
    <xf numFmtId="0" fontId="3" fillId="2" borderId="1" xfId="0" applyFont="1" applyFill="1" applyBorder="1" applyAlignment="1">
      <alignment vertical="center" wrapText="1"/>
    </xf>
    <xf numFmtId="0" fontId="3" fillId="0" borderId="5" xfId="0" applyFont="1" applyFill="1" applyBorder="1" applyAlignment="1">
      <alignment vertical="center" wrapText="1"/>
    </xf>
    <xf numFmtId="0" fontId="0" fillId="0" borderId="0" xfId="0" applyBorder="1"/>
    <xf numFmtId="0" fontId="3" fillId="2" borderId="5" xfId="0" applyFont="1" applyFill="1" applyBorder="1" applyAlignment="1">
      <alignment vertical="center" wrapText="1"/>
    </xf>
    <xf numFmtId="3" fontId="31" fillId="2" borderId="0" xfId="0" applyNumberFormat="1" applyFont="1" applyFill="1" applyBorder="1" applyAlignment="1">
      <alignment wrapText="1"/>
    </xf>
    <xf numFmtId="3" fontId="0" fillId="2" borderId="0" xfId="0" applyNumberFormat="1" applyFont="1" applyFill="1" applyBorder="1" applyAlignment="1">
      <alignment vertical="center"/>
    </xf>
    <xf numFmtId="0" fontId="0" fillId="0" borderId="0" xfId="0"/>
    <xf numFmtId="0" fontId="7" fillId="7" borderId="14" xfId="0" applyFont="1" applyFill="1" applyBorder="1" applyAlignment="1">
      <alignment horizontal="center" wrapText="1"/>
    </xf>
    <xf numFmtId="3" fontId="0" fillId="0" borderId="0" xfId="0" applyNumberFormat="1"/>
    <xf numFmtId="49" fontId="12" fillId="0" borderId="0" xfId="0" applyNumberFormat="1" applyFont="1"/>
    <xf numFmtId="0" fontId="0" fillId="0" borderId="0" xfId="0" applyFill="1"/>
    <xf numFmtId="0" fontId="11" fillId="0" borderId="0" xfId="0" applyFont="1" applyFill="1"/>
    <xf numFmtId="0" fontId="0" fillId="2" borderId="0" xfId="0" applyFill="1"/>
    <xf numFmtId="0" fontId="0" fillId="0" borderId="0" xfId="0"/>
    <xf numFmtId="0" fontId="2" fillId="2" borderId="1" xfId="0" applyFont="1" applyFill="1" applyBorder="1" applyAlignment="1">
      <alignment vertical="center" wrapText="1"/>
    </xf>
    <xf numFmtId="49" fontId="12" fillId="0" borderId="0" xfId="0" applyNumberFormat="1" applyFont="1"/>
    <xf numFmtId="0" fontId="3" fillId="2" borderId="1"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vertical="center" wrapText="1"/>
    </xf>
    <xf numFmtId="0" fontId="2" fillId="0" borderId="1" xfId="0" applyFont="1" applyFill="1" applyBorder="1" applyAlignment="1">
      <alignment vertical="center" wrapText="1"/>
    </xf>
    <xf numFmtId="0" fontId="8" fillId="2" borderId="1" xfId="0" applyFont="1" applyFill="1" applyBorder="1" applyAlignment="1">
      <alignment vertical="center" wrapText="1"/>
    </xf>
    <xf numFmtId="0" fontId="8" fillId="0" borderId="1" xfId="0" applyFont="1" applyFill="1" applyBorder="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3" fillId="2" borderId="1" xfId="0" applyFont="1" applyFill="1" applyBorder="1" applyAlignment="1">
      <alignment vertical="top" wrapText="1"/>
    </xf>
    <xf numFmtId="0" fontId="3" fillId="0" borderId="5" xfId="0" applyFont="1" applyFill="1" applyBorder="1" applyAlignment="1">
      <alignment vertical="center" wrapText="1"/>
    </xf>
    <xf numFmtId="0" fontId="12" fillId="0" borderId="0" xfId="0" applyFont="1"/>
    <xf numFmtId="0" fontId="1" fillId="2" borderId="0" xfId="0" applyFont="1" applyFill="1" applyBorder="1" applyAlignment="1">
      <alignment vertical="center" wrapText="1"/>
    </xf>
    <xf numFmtId="3" fontId="1" fillId="0" borderId="0" xfId="0" applyNumberFormat="1" applyFont="1" applyAlignment="1">
      <alignment vertical="top"/>
    </xf>
    <xf numFmtId="3" fontId="3" fillId="0" borderId="0" xfId="0" applyNumberFormat="1" applyFont="1" applyAlignment="1">
      <alignment horizontal="right" vertical="top"/>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2" fillId="0" borderId="0" xfId="0" applyFont="1" applyFill="1"/>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2" fillId="2" borderId="5"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3" borderId="5" xfId="0" applyFont="1" applyFill="1" applyBorder="1" applyAlignment="1">
      <alignment vertical="center" wrapText="1"/>
    </xf>
    <xf numFmtId="0" fontId="9" fillId="0" borderId="1" xfId="0" applyFont="1" applyFill="1" applyBorder="1" applyAlignment="1">
      <alignment horizontal="left" vertical="center" wrapText="1"/>
    </xf>
    <xf numFmtId="0" fontId="2" fillId="0" borderId="1" xfId="0" applyFont="1" applyFill="1" applyBorder="1" applyAlignment="1">
      <alignment vertical="top" wrapText="1"/>
    </xf>
    <xf numFmtId="3" fontId="1" fillId="0" borderId="0" xfId="0" applyNumberFormat="1" applyFont="1" applyFill="1" applyAlignment="1">
      <alignment horizontal="right" vertical="top"/>
    </xf>
    <xf numFmtId="0" fontId="32" fillId="0" borderId="0" xfId="0" applyFont="1"/>
    <xf numFmtId="3" fontId="3" fillId="2" borderId="0" xfId="0" applyNumberFormat="1" applyFont="1" applyFill="1" applyAlignment="1">
      <alignment horizontal="right" vertical="top"/>
    </xf>
    <xf numFmtId="3" fontId="1" fillId="2" borderId="0" xfId="0" applyNumberFormat="1" applyFont="1" applyFill="1" applyAlignment="1">
      <alignment horizontal="right" vertical="top"/>
    </xf>
    <xf numFmtId="0" fontId="12" fillId="2" borderId="0" xfId="0" applyFont="1" applyFill="1"/>
    <xf numFmtId="0" fontId="0" fillId="0" borderId="5" xfId="0" applyBorder="1"/>
    <xf numFmtId="0" fontId="12" fillId="2" borderId="1" xfId="0" applyFont="1" applyFill="1" applyBorder="1"/>
    <xf numFmtId="0" fontId="33" fillId="2" borderId="1" xfId="0" applyFont="1" applyFill="1" applyBorder="1" applyAlignment="1">
      <alignment vertical="center" wrapText="1"/>
    </xf>
    <xf numFmtId="3" fontId="3" fillId="5" borderId="1" xfId="0" applyNumberFormat="1" applyFont="1" applyFill="1" applyBorder="1" applyAlignment="1">
      <alignment horizontal="right" vertical="center" wrapText="1"/>
    </xf>
    <xf numFmtId="3" fontId="0" fillId="0" borderId="1" xfId="0" applyNumberFormat="1" applyBorder="1" applyAlignment="1">
      <alignment horizontal="right" vertical="center"/>
    </xf>
    <xf numFmtId="3" fontId="3" fillId="2" borderId="5" xfId="0" applyNumberFormat="1" applyFont="1" applyFill="1" applyBorder="1" applyAlignment="1">
      <alignment horizontal="right" vertical="center" wrapText="1"/>
    </xf>
    <xf numFmtId="3" fontId="3" fillId="2" borderId="1" xfId="0" applyNumberFormat="1" applyFont="1" applyFill="1" applyBorder="1" applyAlignment="1">
      <alignment horizontal="right" vertical="center" wrapText="1"/>
    </xf>
    <xf numFmtId="3" fontId="13" fillId="0" borderId="54" xfId="0" applyNumberFormat="1" applyFont="1" applyBorder="1"/>
    <xf numFmtId="3" fontId="13" fillId="0" borderId="4" xfId="0" applyNumberFormat="1" applyFont="1" applyBorder="1"/>
    <xf numFmtId="3" fontId="13" fillId="0" borderId="34" xfId="0" applyNumberFormat="1" applyFont="1" applyBorder="1"/>
    <xf numFmtId="3" fontId="13" fillId="0" borderId="2" xfId="0" applyNumberFormat="1" applyFont="1" applyBorder="1"/>
    <xf numFmtId="3" fontId="13" fillId="0" borderId="30" xfId="0" applyNumberFormat="1" applyFont="1" applyBorder="1"/>
    <xf numFmtId="3" fontId="13" fillId="0" borderId="55" xfId="0" applyNumberFormat="1" applyFont="1" applyBorder="1"/>
    <xf numFmtId="3" fontId="24" fillId="0" borderId="0" xfId="0" applyNumberFormat="1" applyFont="1" applyBorder="1" applyAlignment="1">
      <alignment horizontal="justify" vertical="top"/>
    </xf>
    <xf numFmtId="3" fontId="13" fillId="0" borderId="57" xfId="0" applyNumberFormat="1" applyFont="1" applyBorder="1"/>
    <xf numFmtId="3" fontId="13" fillId="0" borderId="12" xfId="0" applyNumberFormat="1" applyFont="1" applyBorder="1"/>
    <xf numFmtId="3" fontId="13" fillId="0" borderId="6" xfId="0" applyNumberFormat="1" applyFont="1" applyBorder="1"/>
    <xf numFmtId="3" fontId="13" fillId="0" borderId="24" xfId="0" applyNumberFormat="1" applyFont="1" applyBorder="1"/>
    <xf numFmtId="3" fontId="13" fillId="0" borderId="7" xfId="0" applyNumberFormat="1" applyFont="1" applyBorder="1"/>
    <xf numFmtId="3" fontId="13" fillId="0" borderId="32" xfId="0" applyNumberFormat="1" applyFont="1" applyBorder="1"/>
    <xf numFmtId="3" fontId="16" fillId="0" borderId="7" xfId="0" applyNumberFormat="1" applyFont="1" applyFill="1" applyBorder="1" applyAlignment="1">
      <alignment horizontal="left" vertical="top" wrapText="1"/>
    </xf>
    <xf numFmtId="3" fontId="16" fillId="0" borderId="34" xfId="0" applyNumberFormat="1" applyFont="1" applyFill="1" applyBorder="1" applyAlignment="1">
      <alignment horizontal="left" vertical="top" wrapText="1"/>
    </xf>
    <xf numFmtId="3" fontId="16" fillId="0" borderId="24" xfId="0" applyNumberFormat="1" applyFont="1" applyBorder="1" applyAlignment="1">
      <alignment vertical="top" wrapText="1"/>
    </xf>
    <xf numFmtId="3" fontId="13" fillId="0" borderId="64" xfId="0" applyNumberFormat="1" applyFont="1" applyBorder="1"/>
    <xf numFmtId="3" fontId="13" fillId="2" borderId="35" xfId="0" applyNumberFormat="1" applyFont="1" applyFill="1" applyBorder="1"/>
    <xf numFmtId="3" fontId="13" fillId="16" borderId="18" xfId="0" applyNumberFormat="1" applyFont="1" applyFill="1" applyBorder="1"/>
    <xf numFmtId="3" fontId="13" fillId="16" borderId="35" xfId="0" applyNumberFormat="1" applyFont="1" applyFill="1" applyBorder="1"/>
    <xf numFmtId="3" fontId="13" fillId="16" borderId="19" xfId="0" applyNumberFormat="1" applyFont="1" applyFill="1" applyBorder="1"/>
    <xf numFmtId="3" fontId="13" fillId="16" borderId="45" xfId="0" applyNumberFormat="1" applyFont="1" applyFill="1" applyBorder="1"/>
    <xf numFmtId="3" fontId="15" fillId="16" borderId="35" xfId="0" applyNumberFormat="1" applyFont="1" applyFill="1" applyBorder="1"/>
    <xf numFmtId="3" fontId="15" fillId="16" borderId="19" xfId="0" applyNumberFormat="1" applyFont="1" applyFill="1" applyBorder="1"/>
    <xf numFmtId="3" fontId="1" fillId="5" borderId="33" xfId="0" applyNumberFormat="1" applyFont="1" applyFill="1" applyBorder="1" applyAlignment="1">
      <alignment horizontal="center" vertical="center" wrapText="1"/>
    </xf>
    <xf numFmtId="3" fontId="1" fillId="5" borderId="22" xfId="0" applyNumberFormat="1" applyFont="1" applyFill="1" applyBorder="1" applyAlignment="1">
      <alignment horizontal="center" vertical="center" wrapText="1"/>
    </xf>
    <xf numFmtId="3" fontId="1" fillId="5" borderId="23" xfId="0" applyNumberFormat="1" applyFont="1" applyFill="1" applyBorder="1" applyAlignment="1">
      <alignment horizontal="center" vertical="center" wrapText="1"/>
    </xf>
    <xf numFmtId="3" fontId="1" fillId="5" borderId="0" xfId="0" applyNumberFormat="1" applyFont="1" applyFill="1" applyBorder="1" applyAlignment="1">
      <alignment horizontal="right" vertical="center" wrapText="1"/>
    </xf>
    <xf numFmtId="3" fontId="13" fillId="0" borderId="56" xfId="0" applyNumberFormat="1" applyFont="1" applyBorder="1"/>
    <xf numFmtId="3" fontId="15" fillId="16" borderId="18" xfId="0" applyNumberFormat="1" applyFont="1" applyFill="1" applyBorder="1"/>
    <xf numFmtId="3" fontId="15" fillId="16" borderId="10" xfId="0" applyNumberFormat="1" applyFont="1" applyFill="1" applyBorder="1"/>
    <xf numFmtId="164" fontId="0" fillId="0" borderId="0" xfId="0" applyNumberFormat="1"/>
    <xf numFmtId="3" fontId="34" fillId="0" borderId="10" xfId="0" applyNumberFormat="1" applyFont="1" applyBorder="1"/>
    <xf numFmtId="3" fontId="34" fillId="0" borderId="11" xfId="0" applyNumberFormat="1" applyFont="1" applyBorder="1"/>
    <xf numFmtId="3" fontId="34" fillId="0" borderId="1" xfId="0" applyNumberFormat="1" applyFont="1" applyBorder="1"/>
    <xf numFmtId="3" fontId="34" fillId="0" borderId="36" xfId="0" applyNumberFormat="1" applyFont="1" applyBorder="1"/>
    <xf numFmtId="3" fontId="34" fillId="0" borderId="13" xfId="0" applyNumberFormat="1" applyFont="1" applyBorder="1"/>
    <xf numFmtId="3" fontId="34" fillId="0" borderId="14" xfId="0" applyNumberFormat="1" applyFont="1" applyBorder="1"/>
    <xf numFmtId="3" fontId="13" fillId="16" borderId="11" xfId="0" applyNumberFormat="1" applyFont="1" applyFill="1" applyBorder="1"/>
    <xf numFmtId="3" fontId="13" fillId="0" borderId="1" xfId="0" applyNumberFormat="1" applyFont="1" applyBorder="1"/>
    <xf numFmtId="3" fontId="13" fillId="16" borderId="35" xfId="0" applyNumberFormat="1" applyFont="1" applyFill="1" applyBorder="1"/>
    <xf numFmtId="3" fontId="13" fillId="16" borderId="36" xfId="0" applyNumberFormat="1" applyFont="1" applyFill="1" applyBorder="1"/>
    <xf numFmtId="3" fontId="13" fillId="16" borderId="14" xfId="0" applyNumberFormat="1" applyFont="1" applyFill="1" applyBorder="1"/>
    <xf numFmtId="3" fontId="1" fillId="5" borderId="0" xfId="0" applyNumberFormat="1" applyFont="1" applyFill="1" applyBorder="1" applyAlignment="1">
      <alignment vertical="center" wrapText="1"/>
    </xf>
    <xf numFmtId="3" fontId="13" fillId="0" borderId="1" xfId="0" applyNumberFormat="1" applyFont="1" applyBorder="1"/>
    <xf numFmtId="3" fontId="13" fillId="0" borderId="35" xfId="0" applyNumberFormat="1" applyFont="1" applyBorder="1"/>
    <xf numFmtId="3" fontId="13" fillId="0" borderId="36" xfId="0" applyNumberFormat="1" applyFont="1" applyBorder="1"/>
    <xf numFmtId="3" fontId="13" fillId="0" borderId="5" xfId="0" applyNumberFormat="1" applyFont="1" applyBorder="1"/>
    <xf numFmtId="3" fontId="13" fillId="0" borderId="6" xfId="0" applyNumberFormat="1" applyFont="1" applyBorder="1"/>
    <xf numFmtId="3" fontId="13" fillId="0" borderId="58" xfId="0" applyNumberFormat="1" applyFont="1" applyBorder="1"/>
    <xf numFmtId="3" fontId="13" fillId="0" borderId="61" xfId="0" applyNumberFormat="1" applyFont="1" applyBorder="1"/>
    <xf numFmtId="3" fontId="13" fillId="0" borderId="60" xfId="0" applyNumberFormat="1" applyFont="1" applyBorder="1"/>
    <xf numFmtId="3" fontId="13" fillId="0" borderId="1" xfId="0" applyNumberFormat="1" applyFont="1" applyFill="1" applyBorder="1"/>
    <xf numFmtId="3" fontId="13" fillId="0" borderId="5" xfId="0" applyNumberFormat="1" applyFont="1" applyFill="1" applyBorder="1"/>
    <xf numFmtId="3" fontId="13" fillId="2" borderId="6" xfId="0" applyNumberFormat="1" applyFont="1" applyFill="1" applyBorder="1"/>
    <xf numFmtId="3" fontId="13" fillId="2" borderId="1" xfId="0" applyNumberFormat="1" applyFont="1" applyFill="1" applyBorder="1"/>
    <xf numFmtId="3" fontId="13" fillId="2" borderId="5" xfId="0" applyNumberFormat="1" applyFont="1" applyFill="1" applyBorder="1"/>
    <xf numFmtId="3" fontId="1" fillId="5" borderId="33" xfId="0" applyNumberFormat="1" applyFont="1" applyFill="1" applyBorder="1" applyAlignment="1">
      <alignment horizontal="right" vertical="center" wrapText="1"/>
    </xf>
    <xf numFmtId="0" fontId="0" fillId="0" borderId="0" xfId="0"/>
    <xf numFmtId="0" fontId="12" fillId="0" borderId="0" xfId="0" applyFont="1" applyFill="1"/>
    <xf numFmtId="3" fontId="13" fillId="0" borderId="0" xfId="0" applyNumberFormat="1" applyFont="1" applyFill="1"/>
    <xf numFmtId="3" fontId="3" fillId="0" borderId="0" xfId="0" applyNumberFormat="1" applyFont="1" applyFill="1" applyAlignment="1">
      <alignment horizontal="right" vertical="top"/>
    </xf>
    <xf numFmtId="3" fontId="3" fillId="0" borderId="1" xfId="0" applyNumberFormat="1" applyFont="1" applyBorder="1" applyAlignment="1">
      <alignment vertical="top"/>
    </xf>
    <xf numFmtId="164" fontId="0" fillId="0" borderId="0" xfId="1" applyFont="1"/>
    <xf numFmtId="164" fontId="0" fillId="11" borderId="0" xfId="1" applyFont="1" applyFill="1"/>
    <xf numFmtId="49" fontId="12" fillId="8" borderId="0" xfId="0" applyNumberFormat="1" applyFont="1" applyFill="1"/>
    <xf numFmtId="0" fontId="33" fillId="2" borderId="53" xfId="0" applyFont="1" applyFill="1" applyBorder="1" applyAlignment="1">
      <alignment horizontal="right" wrapText="1"/>
    </xf>
    <xf numFmtId="0" fontId="5" fillId="5" borderId="7" xfId="0" applyFont="1" applyFill="1" applyBorder="1" applyAlignment="1">
      <alignment horizontal="left" vertical="center" wrapText="1"/>
    </xf>
    <xf numFmtId="0" fontId="1" fillId="5" borderId="2" xfId="0" applyFont="1" applyFill="1" applyBorder="1" applyAlignment="1">
      <alignment horizontal="left" vertical="center" wrapText="1"/>
    </xf>
    <xf numFmtId="3" fontId="2" fillId="2" borderId="1" xfId="0" applyNumberFormat="1" applyFont="1" applyFill="1" applyBorder="1" applyAlignment="1">
      <alignment horizontal="right" vertical="center" wrapText="1"/>
    </xf>
    <xf numFmtId="0" fontId="22" fillId="2" borderId="0" xfId="0" applyFont="1" applyFill="1"/>
    <xf numFmtId="165" fontId="0" fillId="0" borderId="0" xfId="1" applyNumberFormat="1" applyFont="1"/>
    <xf numFmtId="165" fontId="0" fillId="0" borderId="1" xfId="1" applyNumberFormat="1" applyFont="1" applyBorder="1"/>
    <xf numFmtId="165" fontId="3" fillId="2" borderId="1" xfId="1" applyNumberFormat="1" applyFont="1" applyFill="1" applyBorder="1" applyAlignment="1">
      <alignment wrapText="1"/>
    </xf>
    <xf numFmtId="165" fontId="12" fillId="0" borderId="1" xfId="1" applyNumberFormat="1" applyFont="1" applyBorder="1"/>
    <xf numFmtId="165" fontId="0" fillId="0" borderId="0" xfId="1" applyNumberFormat="1" applyFont="1" applyBorder="1"/>
    <xf numFmtId="0" fontId="3" fillId="0" borderId="5" xfId="0" applyFont="1" applyBorder="1" applyAlignment="1">
      <alignment vertical="top" wrapText="1"/>
    </xf>
    <xf numFmtId="0" fontId="2" fillId="0" borderId="5" xfId="0" applyFont="1" applyBorder="1" applyAlignment="1">
      <alignment vertical="center" wrapText="1"/>
    </xf>
    <xf numFmtId="0" fontId="4" fillId="2" borderId="6" xfId="0" applyFont="1" applyFill="1" applyBorder="1" applyAlignment="1">
      <alignment vertical="center" wrapText="1"/>
    </xf>
    <xf numFmtId="0" fontId="3" fillId="0" borderId="5" xfId="0" applyFont="1" applyBorder="1" applyAlignment="1">
      <alignment vertical="center" wrapText="1"/>
    </xf>
    <xf numFmtId="3" fontId="3" fillId="2" borderId="6" xfId="0" applyNumberFormat="1" applyFont="1" applyFill="1" applyBorder="1" applyAlignment="1">
      <alignment horizontal="right" vertical="center" wrapText="1"/>
    </xf>
    <xf numFmtId="0" fontId="1" fillId="0" borderId="0" xfId="0" applyFont="1" applyFill="1" applyBorder="1" applyAlignment="1">
      <alignment horizontal="left" vertical="center"/>
    </xf>
    <xf numFmtId="0" fontId="3" fillId="0" borderId="0" xfId="0" applyFont="1" applyFill="1" applyAlignment="1">
      <alignment vertical="center" wrapText="1"/>
    </xf>
    <xf numFmtId="49" fontId="7" fillId="7" borderId="24" xfId="0" applyNumberFormat="1" applyFont="1" applyFill="1" applyBorder="1" applyAlignment="1">
      <alignment horizontal="center" vertical="top" wrapText="1"/>
    </xf>
    <xf numFmtId="0" fontId="0" fillId="0" borderId="0" xfId="0" applyAlignment="1">
      <alignment vertical="center"/>
    </xf>
    <xf numFmtId="3" fontId="0" fillId="0" borderId="0" xfId="0" applyNumberFormat="1" applyAlignment="1">
      <alignment vertical="center"/>
    </xf>
    <xf numFmtId="165" fontId="0" fillId="0" borderId="0" xfId="0" applyNumberFormat="1" applyAlignment="1">
      <alignment vertical="center"/>
    </xf>
    <xf numFmtId="0" fontId="0" fillId="0" borderId="0" xfId="0" applyBorder="1" applyAlignment="1">
      <alignment vertical="center"/>
    </xf>
    <xf numFmtId="3" fontId="0" fillId="0" borderId="1" xfId="0" applyNumberFormat="1" applyFill="1" applyBorder="1" applyAlignment="1">
      <alignment horizontal="right" vertical="center"/>
    </xf>
    <xf numFmtId="3" fontId="0" fillId="0" borderId="0" xfId="0" applyNumberFormat="1" applyFill="1" applyAlignment="1">
      <alignment vertical="center"/>
    </xf>
    <xf numFmtId="0" fontId="1" fillId="0" borderId="2" xfId="0" applyFont="1" applyFill="1" applyBorder="1" applyAlignment="1">
      <alignment horizontal="left" vertical="center" wrapText="1"/>
    </xf>
    <xf numFmtId="3" fontId="3" fillId="0" borderId="1" xfId="0" applyNumberFormat="1" applyFont="1" applyFill="1" applyBorder="1" applyAlignment="1">
      <alignment horizontal="righ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wrapText="1"/>
    </xf>
    <xf numFmtId="0" fontId="1" fillId="0" borderId="2" xfId="0" applyFont="1" applyFill="1" applyBorder="1" applyAlignment="1">
      <alignment horizontal="left" wrapText="1"/>
    </xf>
    <xf numFmtId="0" fontId="1" fillId="0" borderId="15" xfId="0" applyFont="1" applyFill="1" applyBorder="1" applyAlignment="1">
      <alignment horizontal="left" vertical="center" wrapText="1"/>
    </xf>
    <xf numFmtId="3" fontId="3" fillId="0" borderId="0" xfId="0" applyNumberFormat="1" applyFont="1" applyFill="1" applyBorder="1" applyAlignment="1">
      <alignment wrapText="1"/>
    </xf>
    <xf numFmtId="3" fontId="2" fillId="2" borderId="1" xfId="0" applyNumberFormat="1" applyFont="1" applyFill="1" applyBorder="1" applyAlignment="1">
      <alignment vertical="center" wrapText="1"/>
    </xf>
    <xf numFmtId="3" fontId="5" fillId="2" borderId="1" xfId="0" applyNumberFormat="1" applyFont="1" applyFill="1" applyBorder="1" applyAlignment="1">
      <alignment vertical="center" wrapText="1"/>
    </xf>
    <xf numFmtId="3" fontId="22" fillId="0" borderId="5" xfId="0" applyNumberFormat="1" applyFont="1" applyBorder="1" applyAlignment="1">
      <alignment vertical="center"/>
    </xf>
    <xf numFmtId="3" fontId="2" fillId="2" borderId="5" xfId="0" applyNumberFormat="1" applyFont="1" applyFill="1" applyBorder="1" applyAlignment="1">
      <alignment vertical="center" wrapText="1"/>
    </xf>
    <xf numFmtId="3" fontId="22" fillId="2" borderId="6" xfId="0" applyNumberFormat="1" applyFont="1" applyFill="1" applyBorder="1" applyAlignment="1">
      <alignment vertical="center"/>
    </xf>
    <xf numFmtId="3" fontId="2" fillId="2" borderId="6" xfId="0" applyNumberFormat="1" applyFont="1" applyFill="1" applyBorder="1" applyAlignment="1">
      <alignment vertical="center" wrapText="1"/>
    </xf>
    <xf numFmtId="0" fontId="7" fillId="7" borderId="1" xfId="0" applyFont="1" applyFill="1" applyBorder="1" applyAlignment="1">
      <alignment horizontal="center" vertical="center" wrapText="1"/>
    </xf>
    <xf numFmtId="0" fontId="7" fillId="7" borderId="36" xfId="0" applyFont="1" applyFill="1" applyBorder="1" applyAlignment="1">
      <alignment horizontal="center" vertical="center" wrapText="1"/>
    </xf>
    <xf numFmtId="0" fontId="0" fillId="0" borderId="16" xfId="0" applyBorder="1" applyAlignment="1">
      <alignment vertical="center"/>
    </xf>
    <xf numFmtId="3" fontId="3" fillId="5" borderId="6" xfId="0" applyNumberFormat="1" applyFont="1" applyFill="1" applyBorder="1" applyAlignment="1">
      <alignment vertical="center" wrapText="1"/>
    </xf>
    <xf numFmtId="3" fontId="3" fillId="6" borderId="1" xfId="0" applyNumberFormat="1" applyFont="1" applyFill="1" applyBorder="1" applyAlignment="1">
      <alignment vertical="center" wrapText="1"/>
    </xf>
    <xf numFmtId="3" fontId="2" fillId="0" borderId="1" xfId="0" applyNumberFormat="1" applyFont="1" applyFill="1" applyBorder="1" applyAlignment="1">
      <alignment vertical="center" wrapText="1"/>
    </xf>
    <xf numFmtId="3" fontId="22" fillId="0" borderId="1" xfId="0" applyNumberFormat="1" applyFont="1" applyBorder="1" applyAlignment="1">
      <alignment vertical="center"/>
    </xf>
    <xf numFmtId="3" fontId="2" fillId="6" borderId="1" xfId="0" applyNumberFormat="1" applyFont="1" applyFill="1" applyBorder="1" applyAlignment="1">
      <alignment vertical="center" wrapText="1"/>
    </xf>
    <xf numFmtId="0" fontId="22" fillId="0" borderId="5" xfId="0" applyFont="1" applyBorder="1" applyAlignment="1">
      <alignment vertical="center"/>
    </xf>
    <xf numFmtId="3" fontId="22" fillId="0" borderId="6" xfId="0" applyNumberFormat="1" applyFont="1" applyBorder="1" applyAlignment="1">
      <alignment vertical="center"/>
    </xf>
    <xf numFmtId="3" fontId="2" fillId="0" borderId="1" xfId="0" applyNumberFormat="1" applyFont="1" applyBorder="1" applyAlignment="1">
      <alignment vertical="center"/>
    </xf>
    <xf numFmtId="3" fontId="2" fillId="5" borderId="1" xfId="0" applyNumberFormat="1" applyFont="1" applyFill="1" applyBorder="1" applyAlignment="1">
      <alignment vertical="center" wrapText="1"/>
    </xf>
    <xf numFmtId="3" fontId="2" fillId="4"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35" fillId="2" borderId="1" xfId="0" applyNumberFormat="1" applyFont="1" applyFill="1" applyBorder="1" applyAlignment="1">
      <alignment vertical="center" wrapText="1"/>
    </xf>
    <xf numFmtId="3" fontId="32" fillId="0" borderId="1" xfId="0" applyNumberFormat="1" applyFont="1" applyBorder="1" applyAlignment="1">
      <alignment vertical="center"/>
    </xf>
    <xf numFmtId="0" fontId="7" fillId="7" borderId="0" xfId="0" applyFont="1" applyFill="1" applyBorder="1" applyAlignment="1">
      <alignment horizontal="center" wrapText="1"/>
    </xf>
    <xf numFmtId="0" fontId="3" fillId="0" borderId="5"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 fillId="6" borderId="1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6" borderId="1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5" borderId="7"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7" fillId="7" borderId="1" xfId="0" applyFont="1" applyFill="1" applyBorder="1" applyAlignment="1">
      <alignment horizontal="center" vertical="center" wrapText="1"/>
    </xf>
    <xf numFmtId="0" fontId="1" fillId="2" borderId="0" xfId="0" applyFont="1" applyFill="1" applyBorder="1" applyAlignment="1">
      <alignment horizont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7" fillId="7" borderId="1" xfId="0" applyFont="1" applyFill="1" applyBorder="1" applyAlignment="1">
      <alignment vertical="center" wrapText="1"/>
    </xf>
    <xf numFmtId="0" fontId="7" fillId="7" borderId="36" xfId="0" applyFont="1" applyFill="1" applyBorder="1" applyAlignment="1">
      <alignment vertical="center" wrapText="1"/>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1" fillId="4" borderId="4" xfId="0" applyFont="1" applyFill="1" applyBorder="1" applyAlignment="1">
      <alignment horizontal="left"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7" fillId="7" borderId="40" xfId="0" applyFont="1" applyFill="1" applyBorder="1" applyAlignment="1">
      <alignment vertical="center" wrapText="1"/>
    </xf>
    <xf numFmtId="0" fontId="7" fillId="7" borderId="60" xfId="0" applyFont="1" applyFill="1" applyBorder="1" applyAlignment="1">
      <alignment vertical="center" wrapText="1"/>
    </xf>
    <xf numFmtId="0" fontId="2" fillId="2" borderId="2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2" xfId="0" applyFont="1" applyFill="1" applyBorder="1" applyAlignment="1">
      <alignment wrapText="1"/>
    </xf>
    <xf numFmtId="0" fontId="5" fillId="6" borderId="3" xfId="0" applyFont="1" applyFill="1" applyBorder="1" applyAlignment="1">
      <alignment wrapText="1"/>
    </xf>
    <xf numFmtId="0" fontId="5" fillId="6" borderId="4" xfId="0" applyFont="1" applyFill="1" applyBorder="1" applyAlignment="1">
      <alignment wrapText="1"/>
    </xf>
    <xf numFmtId="0" fontId="2" fillId="2" borderId="5" xfId="0" applyFont="1" applyFill="1" applyBorder="1" applyAlignment="1">
      <alignment horizontal="left" vertical="center" wrapText="1"/>
    </xf>
    <xf numFmtId="0" fontId="33" fillId="2" borderId="53" xfId="0" applyFont="1" applyFill="1" applyBorder="1" applyAlignment="1">
      <alignment horizontal="right" wrapText="1"/>
    </xf>
    <xf numFmtId="0" fontId="33" fillId="2" borderId="0" xfId="0" applyFont="1" applyFill="1" applyBorder="1" applyAlignment="1">
      <alignment horizontal="right" wrapText="1"/>
    </xf>
    <xf numFmtId="0" fontId="33" fillId="2" borderId="21" xfId="0" applyFont="1" applyFill="1" applyBorder="1" applyAlignment="1">
      <alignment horizontal="right" wrapText="1"/>
    </xf>
    <xf numFmtId="0" fontId="1" fillId="2" borderId="5"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3" fontId="7" fillId="7" borderId="18" xfId="0" applyNumberFormat="1" applyFont="1" applyFill="1" applyBorder="1" applyAlignment="1">
      <alignment horizontal="center" vertical="top" wrapText="1"/>
    </xf>
    <xf numFmtId="3" fontId="7" fillId="7" borderId="19" xfId="0" applyNumberFormat="1" applyFont="1" applyFill="1" applyBorder="1" applyAlignment="1">
      <alignment horizontal="center" vertical="top" wrapText="1"/>
    </xf>
    <xf numFmtId="3" fontId="1" fillId="2" borderId="2" xfId="0" applyNumberFormat="1" applyFont="1" applyFill="1" applyBorder="1" applyAlignment="1">
      <alignment horizontal="center" vertical="top" wrapText="1"/>
    </xf>
    <xf numFmtId="3" fontId="1" fillId="2" borderId="3" xfId="0" applyNumberFormat="1" applyFont="1" applyFill="1" applyBorder="1" applyAlignment="1">
      <alignment horizontal="center" vertical="top" wrapText="1"/>
    </xf>
    <xf numFmtId="0" fontId="3" fillId="0" borderId="3" xfId="0" applyFont="1" applyBorder="1" applyAlignment="1">
      <alignment vertical="top"/>
    </xf>
    <xf numFmtId="0" fontId="3" fillId="0" borderId="4" xfId="0" applyFont="1" applyBorder="1" applyAlignment="1">
      <alignment vertical="top"/>
    </xf>
    <xf numFmtId="3" fontId="1" fillId="2" borderId="15" xfId="0" applyNumberFormat="1" applyFont="1" applyFill="1" applyBorder="1" applyAlignment="1">
      <alignment horizontal="center" vertical="top" wrapText="1"/>
    </xf>
    <xf numFmtId="3" fontId="1" fillId="2" borderId="16" xfId="0" applyNumberFormat="1" applyFont="1" applyFill="1" applyBorder="1" applyAlignment="1">
      <alignment horizontal="center" vertical="top" wrapText="1"/>
    </xf>
    <xf numFmtId="0" fontId="3" fillId="0" borderId="16" xfId="0" applyFont="1" applyBorder="1" applyAlignment="1">
      <alignment vertical="top"/>
    </xf>
    <xf numFmtId="0" fontId="3" fillId="0" borderId="17" xfId="0" applyFont="1" applyBorder="1" applyAlignment="1">
      <alignment vertical="top"/>
    </xf>
    <xf numFmtId="3" fontId="7" fillId="7" borderId="7" xfId="0" applyNumberFormat="1" applyFont="1" applyFill="1" applyBorder="1" applyAlignment="1">
      <alignment horizontal="center" vertical="top" wrapText="1"/>
    </xf>
    <xf numFmtId="3" fontId="7" fillId="7" borderId="8" xfId="0" applyNumberFormat="1" applyFont="1" applyFill="1" applyBorder="1" applyAlignment="1">
      <alignment horizontal="center" vertical="top" wrapText="1"/>
    </xf>
    <xf numFmtId="0" fontId="3" fillId="0" borderId="9" xfId="0" applyFont="1" applyBorder="1" applyAlignment="1">
      <alignment horizontal="center" vertical="top"/>
    </xf>
    <xf numFmtId="0" fontId="1" fillId="2" borderId="63"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1" fillId="2" borderId="62" xfId="0" applyFont="1" applyFill="1" applyBorder="1" applyAlignment="1">
      <alignment horizontal="left" vertical="center" wrapText="1"/>
    </xf>
    <xf numFmtId="0" fontId="1" fillId="5" borderId="59" xfId="0" applyFont="1" applyFill="1" applyBorder="1" applyAlignment="1">
      <alignment horizontal="left" vertical="center" wrapText="1"/>
    </xf>
    <xf numFmtId="0" fontId="1" fillId="5" borderId="33" xfId="0" applyFont="1" applyFill="1" applyBorder="1" applyAlignment="1">
      <alignment horizontal="left" vertical="center" wrapText="1"/>
    </xf>
    <xf numFmtId="3" fontId="14" fillId="9" borderId="27" xfId="0" applyNumberFormat="1" applyFont="1" applyFill="1" applyBorder="1" applyAlignment="1">
      <alignment horizontal="center" vertical="center" wrapText="1"/>
    </xf>
    <xf numFmtId="3" fontId="14" fillId="9" borderId="29" xfId="0" applyNumberFormat="1" applyFont="1" applyFill="1" applyBorder="1" applyAlignment="1">
      <alignment horizontal="center" vertical="center" wrapText="1"/>
    </xf>
    <xf numFmtId="3" fontId="14" fillId="9" borderId="30" xfId="0" applyNumberFormat="1" applyFont="1" applyFill="1" applyBorder="1" applyAlignment="1">
      <alignment horizontal="center" vertical="center" wrapText="1"/>
    </xf>
    <xf numFmtId="0" fontId="1" fillId="5" borderId="25"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3" fontId="14" fillId="9" borderId="31" xfId="0" applyNumberFormat="1" applyFont="1" applyFill="1" applyBorder="1" applyAlignment="1">
      <alignment horizontal="center" vertical="center" wrapText="1"/>
    </xf>
    <xf numFmtId="3" fontId="14" fillId="9" borderId="32" xfId="0" applyNumberFormat="1" applyFont="1" applyFill="1" applyBorder="1" applyAlignment="1">
      <alignment horizontal="center" vertical="center" wrapText="1"/>
    </xf>
    <xf numFmtId="3" fontId="15" fillId="0" borderId="5" xfId="0" applyNumberFormat="1" applyFont="1" applyFill="1" applyBorder="1" applyAlignment="1">
      <alignment horizontal="left" vertical="center"/>
    </xf>
    <xf numFmtId="3" fontId="15" fillId="0" borderId="20" xfId="0" applyNumberFormat="1" applyFont="1" applyFill="1" applyBorder="1" applyAlignment="1">
      <alignment horizontal="left" vertical="center"/>
    </xf>
    <xf numFmtId="3" fontId="15" fillId="0" borderId="6" xfId="0" applyNumberFormat="1" applyFont="1" applyFill="1" applyBorder="1" applyAlignment="1">
      <alignment horizontal="left" vertical="center"/>
    </xf>
    <xf numFmtId="3" fontId="14" fillId="9" borderId="37" xfId="0" applyNumberFormat="1" applyFont="1" applyFill="1" applyBorder="1" applyAlignment="1">
      <alignment horizontal="center" vertical="center" wrapText="1"/>
    </xf>
    <xf numFmtId="3" fontId="14" fillId="9" borderId="38" xfId="0" applyNumberFormat="1"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9" borderId="19" xfId="0" applyFont="1" applyFill="1" applyBorder="1" applyAlignment="1">
      <alignment horizontal="center" vertical="center" wrapText="1"/>
    </xf>
    <xf numFmtId="0" fontId="7" fillId="9" borderId="27" xfId="0" applyFont="1" applyFill="1" applyBorder="1" applyAlignment="1">
      <alignment horizontal="center" vertical="center" wrapText="1"/>
    </xf>
    <xf numFmtId="0" fontId="7" fillId="9" borderId="28" xfId="0" applyFont="1" applyFill="1" applyBorder="1" applyAlignment="1">
      <alignment horizontal="center" vertical="center" wrapText="1"/>
    </xf>
    <xf numFmtId="3" fontId="14" fillId="9" borderId="18" xfId="0" applyNumberFormat="1" applyFont="1" applyFill="1" applyBorder="1" applyAlignment="1">
      <alignment horizontal="center" vertical="center" wrapText="1"/>
    </xf>
    <xf numFmtId="3" fontId="14" fillId="9" borderId="10" xfId="0" applyNumberFormat="1" applyFont="1" applyFill="1" applyBorder="1" applyAlignment="1">
      <alignment horizontal="center" vertical="center" wrapText="1"/>
    </xf>
    <xf numFmtId="3" fontId="14" fillId="9" borderId="11" xfId="0" applyNumberFormat="1" applyFont="1" applyFill="1" applyBorder="1" applyAlignment="1">
      <alignment horizontal="center" vertical="center" wrapText="1"/>
    </xf>
    <xf numFmtId="0" fontId="1" fillId="2" borderId="12"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1" fillId="2" borderId="51" xfId="0" applyFont="1" applyFill="1" applyBorder="1" applyAlignment="1">
      <alignment horizontal="left" vertical="center" wrapText="1"/>
    </xf>
    <xf numFmtId="3" fontId="20" fillId="5" borderId="2" xfId="0" applyNumberFormat="1" applyFont="1" applyFill="1" applyBorder="1" applyAlignment="1">
      <alignment horizontal="left" vertical="center"/>
    </xf>
    <xf numFmtId="3" fontId="20" fillId="5" borderId="3" xfId="0" applyNumberFormat="1" applyFont="1" applyFill="1" applyBorder="1" applyAlignment="1">
      <alignment horizontal="left" vertical="center"/>
    </xf>
    <xf numFmtId="0" fontId="1" fillId="2" borderId="25" xfId="0" applyFont="1" applyFill="1" applyBorder="1" applyAlignment="1">
      <alignment horizont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7" fillId="7" borderId="60"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6" xfId="0" applyFont="1" applyFill="1" applyBorder="1" applyAlignment="1">
      <alignment horizontal="center" wrapText="1"/>
    </xf>
    <xf numFmtId="0" fontId="7" fillId="7" borderId="58" xfId="0" applyFont="1" applyFill="1" applyBorder="1" applyAlignment="1">
      <alignment horizontal="center" wrapText="1"/>
    </xf>
    <xf numFmtId="0" fontId="7" fillId="7" borderId="53"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1" fillId="10" borderId="2"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1" fillId="11" borderId="22" xfId="0" applyFont="1" applyFill="1" applyBorder="1" applyAlignment="1">
      <alignment horizontal="right" wrapText="1"/>
    </xf>
    <xf numFmtId="0" fontId="1" fillId="11" borderId="23" xfId="0" applyFont="1" applyFill="1" applyBorder="1" applyAlignment="1">
      <alignment horizontal="right" wrapText="1"/>
    </xf>
    <xf numFmtId="0" fontId="1" fillId="15" borderId="2" xfId="0" applyFont="1" applyFill="1" applyBorder="1" applyAlignment="1">
      <alignment horizontal="left" vertical="center" wrapText="1"/>
    </xf>
    <xf numFmtId="0" fontId="1" fillId="15" borderId="3" xfId="0" applyFont="1" applyFill="1" applyBorder="1" applyAlignment="1">
      <alignment horizontal="left" vertical="center" wrapText="1"/>
    </xf>
    <xf numFmtId="0" fontId="5" fillId="15" borderId="2" xfId="0" applyFont="1" applyFill="1" applyBorder="1" applyAlignment="1">
      <alignment horizontal="left" vertical="center" wrapText="1"/>
    </xf>
    <xf numFmtId="0" fontId="5" fillId="15" borderId="3" xfId="0" applyFont="1" applyFill="1" applyBorder="1" applyAlignment="1">
      <alignment horizontal="left" vertical="center" wrapText="1"/>
    </xf>
    <xf numFmtId="0" fontId="1" fillId="15" borderId="2" xfId="0" applyFont="1" applyFill="1" applyBorder="1" applyAlignment="1">
      <alignment wrapText="1"/>
    </xf>
    <xf numFmtId="0" fontId="1" fillId="15" borderId="3" xfId="0" applyFont="1" applyFill="1" applyBorder="1" applyAlignment="1">
      <alignment wrapText="1"/>
    </xf>
  </cellXfs>
  <cellStyles count="5">
    <cellStyle name="Comma" xfId="1" builtinId="3"/>
    <cellStyle name="Normal" xfId="0" builtinId="0"/>
    <cellStyle name="Normal 2_Plan de trabajo REDD ANAM04 abril" xfId="2"/>
    <cellStyle name="Normal 5_Plan de trabajo REDD ANAM04 abril" xfId="3"/>
    <cellStyle name="Normal 7_Plan de trabajo REDD ANAM04 abril" xfId="4"/>
  </cellStyles>
  <dxfs count="0"/>
  <tableStyles count="0" defaultTableStyle="TableStyleMedium2" defaultPivotStyle="PivotStyleLight16"/>
  <colors>
    <mruColors>
      <color rgb="FFFFFF99"/>
      <color rgb="FF00CC00"/>
      <color rgb="FF99CC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5"/>
  <sheetViews>
    <sheetView tabSelected="1" zoomScale="60" zoomScaleNormal="60" zoomScalePageLayoutView="150" workbookViewId="0">
      <pane ySplit="4" topLeftCell="A5" activePane="bottomLeft" state="frozen"/>
      <selection pane="bottomLeft" activeCell="A8" sqref="A8:E8"/>
    </sheetView>
  </sheetViews>
  <sheetFormatPr defaultColWidth="11.42578125" defaultRowHeight="15" x14ac:dyDescent="0.25"/>
  <cols>
    <col min="1" max="1" width="56.140625" customWidth="1"/>
    <col min="2" max="2" width="46.140625" customWidth="1"/>
    <col min="3" max="3" width="46.140625" style="142" customWidth="1"/>
    <col min="4" max="4" width="35.7109375" customWidth="1"/>
    <col min="5" max="5" width="40.28515625" customWidth="1"/>
    <col min="6" max="7" width="12.42578125" style="349" customWidth="1"/>
    <col min="8" max="8" width="17" style="349" customWidth="1"/>
    <col min="9" max="9" width="6.28515625" style="209" customWidth="1"/>
    <col min="10" max="10" width="15.5703125" style="336" customWidth="1"/>
    <col min="11" max="11" width="11.5703125" style="336" customWidth="1"/>
    <col min="12" max="12" width="12.42578125" style="336" customWidth="1"/>
    <col min="13" max="13" width="16.28515625" style="349" customWidth="1"/>
  </cols>
  <sheetData>
    <row r="1" spans="1:17" x14ac:dyDescent="0.25">
      <c r="A1" s="414" t="s">
        <v>0</v>
      </c>
      <c r="B1" s="414"/>
      <c r="C1" s="414"/>
      <c r="D1" s="414"/>
      <c r="E1" s="414"/>
      <c r="F1" s="414"/>
      <c r="G1" s="239"/>
      <c r="H1" s="352"/>
      <c r="J1" s="336" t="s">
        <v>237</v>
      </c>
    </row>
    <row r="2" spans="1:17" x14ac:dyDescent="0.25">
      <c r="A2" s="434" t="s">
        <v>280</v>
      </c>
      <c r="B2" s="434"/>
      <c r="C2" s="434"/>
      <c r="D2" s="434"/>
      <c r="E2" s="434"/>
      <c r="F2" s="434"/>
      <c r="G2" s="239"/>
      <c r="H2" s="352"/>
      <c r="J2" s="384" t="s">
        <v>240</v>
      </c>
      <c r="K2" s="384"/>
      <c r="L2" s="384"/>
    </row>
    <row r="3" spans="1:17" ht="38.25" customHeight="1" thickBot="1" x14ac:dyDescent="0.3">
      <c r="A3" s="413" t="s">
        <v>244</v>
      </c>
      <c r="B3" s="413" t="s">
        <v>1</v>
      </c>
      <c r="C3" s="413" t="s">
        <v>291</v>
      </c>
      <c r="D3" s="426" t="s">
        <v>2</v>
      </c>
      <c r="E3" s="426" t="s">
        <v>3</v>
      </c>
      <c r="F3" s="418" t="s">
        <v>245</v>
      </c>
      <c r="G3" s="419"/>
      <c r="H3" s="435" t="s">
        <v>117</v>
      </c>
      <c r="J3" s="217" t="s">
        <v>136</v>
      </c>
      <c r="K3" s="217" t="s">
        <v>235</v>
      </c>
      <c r="L3" s="217" t="s">
        <v>236</v>
      </c>
      <c r="N3" s="216"/>
    </row>
    <row r="4" spans="1:17" x14ac:dyDescent="0.25">
      <c r="A4" s="413"/>
      <c r="B4" s="413"/>
      <c r="C4" s="413"/>
      <c r="D4" s="427"/>
      <c r="E4" s="427"/>
      <c r="F4" s="368">
        <v>2013</v>
      </c>
      <c r="G4" s="369" t="s">
        <v>273</v>
      </c>
      <c r="H4" s="436"/>
      <c r="J4" s="337"/>
      <c r="K4" s="337"/>
      <c r="L4" s="337"/>
      <c r="N4" s="216"/>
    </row>
    <row r="5" spans="1:17" ht="27" customHeight="1" x14ac:dyDescent="0.25">
      <c r="A5" s="431" t="s">
        <v>176</v>
      </c>
      <c r="B5" s="432"/>
      <c r="C5" s="432"/>
      <c r="D5" s="432"/>
      <c r="E5" s="433"/>
      <c r="F5" s="371">
        <f>F6+F8+F20+F24+F29</f>
        <v>68230</v>
      </c>
      <c r="G5" s="371">
        <f>G6+G8+G20+G24+G29</f>
        <v>1157429</v>
      </c>
      <c r="H5" s="371">
        <f>F5+G5</f>
        <v>1225659</v>
      </c>
      <c r="J5" s="337"/>
      <c r="K5" s="337"/>
      <c r="L5" s="337"/>
      <c r="N5" s="218"/>
    </row>
    <row r="6" spans="1:17" ht="28.5" customHeight="1" x14ac:dyDescent="0.25">
      <c r="A6" s="410" t="s">
        <v>151</v>
      </c>
      <c r="B6" s="411"/>
      <c r="C6" s="411"/>
      <c r="D6" s="411"/>
      <c r="E6" s="412"/>
      <c r="F6" s="372">
        <f>F7</f>
        <v>49480</v>
      </c>
      <c r="G6" s="372">
        <f>G7</f>
        <v>0</v>
      </c>
      <c r="H6" s="372">
        <f>G6+F6</f>
        <v>49480</v>
      </c>
      <c r="J6" s="337"/>
      <c r="K6" s="337"/>
      <c r="L6" s="337"/>
      <c r="N6" s="216"/>
    </row>
    <row r="7" spans="1:17" ht="76.5" x14ac:dyDescent="0.25">
      <c r="A7" s="144" t="s">
        <v>137</v>
      </c>
      <c r="B7" s="146" t="s">
        <v>138</v>
      </c>
      <c r="C7" s="145" t="s">
        <v>139</v>
      </c>
      <c r="D7" s="143" t="s">
        <v>140</v>
      </c>
      <c r="E7" s="146" t="s">
        <v>141</v>
      </c>
      <c r="F7" s="373">
        <f>SUM('AWP '!D6:D10)</f>
        <v>49480</v>
      </c>
      <c r="G7" s="373">
        <f>Presupuesto!C8</f>
        <v>0</v>
      </c>
      <c r="H7" s="374">
        <f>G7+F7</f>
        <v>49480</v>
      </c>
      <c r="J7" s="262">
        <v>49480</v>
      </c>
      <c r="K7" s="262"/>
      <c r="L7" s="262"/>
      <c r="M7" s="350"/>
      <c r="N7" s="216"/>
    </row>
    <row r="8" spans="1:17" ht="36.75" customHeight="1" x14ac:dyDescent="0.25">
      <c r="A8" s="441" t="s">
        <v>152</v>
      </c>
      <c r="B8" s="442"/>
      <c r="C8" s="442"/>
      <c r="D8" s="442"/>
      <c r="E8" s="443"/>
      <c r="F8" s="375">
        <f>SUM(F9:F19)</f>
        <v>0</v>
      </c>
      <c r="G8" s="375">
        <f>SUM(G9:G19)</f>
        <v>642539</v>
      </c>
      <c r="H8" s="375">
        <f>G8+F8</f>
        <v>642539</v>
      </c>
      <c r="J8" s="262"/>
      <c r="K8" s="262"/>
      <c r="L8" s="262"/>
      <c r="M8" s="350"/>
      <c r="N8" s="216"/>
    </row>
    <row r="9" spans="1:17" ht="38.25" x14ac:dyDescent="0.25">
      <c r="A9" s="224" t="s">
        <v>131</v>
      </c>
      <c r="B9" s="247" t="s">
        <v>90</v>
      </c>
      <c r="C9" s="247"/>
      <c r="D9" s="247" t="s">
        <v>90</v>
      </c>
      <c r="E9" s="258"/>
      <c r="F9" s="365" t="s">
        <v>90</v>
      </c>
      <c r="G9" s="365" t="s">
        <v>90</v>
      </c>
      <c r="H9" s="376"/>
      <c r="J9" s="262"/>
      <c r="K9" s="262"/>
      <c r="L9" s="262"/>
      <c r="M9" s="350"/>
      <c r="N9" s="216"/>
    </row>
    <row r="10" spans="1:17" s="116" customFormat="1" ht="51" x14ac:dyDescent="0.25">
      <c r="A10" s="249" t="s">
        <v>285</v>
      </c>
      <c r="B10" s="437" t="s">
        <v>142</v>
      </c>
      <c r="C10" s="437" t="s">
        <v>150</v>
      </c>
      <c r="D10" s="439" t="s">
        <v>21</v>
      </c>
      <c r="E10" s="396" t="s">
        <v>224</v>
      </c>
      <c r="F10" s="367">
        <f>PNUD!V10+PNUD!V11</f>
        <v>0</v>
      </c>
      <c r="G10" s="367">
        <f>PNUD!AP11+'AWP '!G13</f>
        <v>348740</v>
      </c>
      <c r="H10" s="377">
        <f>F10+G10</f>
        <v>348740</v>
      </c>
      <c r="I10" s="209"/>
      <c r="J10" s="262">
        <f>348740-50000</f>
        <v>298740</v>
      </c>
      <c r="K10" s="262"/>
      <c r="L10" s="262">
        <v>50000</v>
      </c>
      <c r="M10" s="350"/>
      <c r="N10" s="219"/>
    </row>
    <row r="11" spans="1:17" s="116" customFormat="1" ht="25.5" x14ac:dyDescent="0.25">
      <c r="A11" s="148" t="s">
        <v>286</v>
      </c>
      <c r="B11" s="437"/>
      <c r="C11" s="437"/>
      <c r="D11" s="439"/>
      <c r="E11" s="396"/>
      <c r="F11" s="362">
        <f>PNUD!V12</f>
        <v>0</v>
      </c>
      <c r="G11" s="362">
        <f>PNUD!AP12</f>
        <v>40125</v>
      </c>
      <c r="H11" s="377">
        <f t="shared" ref="H11:H19" si="0">F11+G11</f>
        <v>40125</v>
      </c>
      <c r="I11" s="209"/>
      <c r="J11" s="262">
        <v>40125</v>
      </c>
      <c r="K11" s="262"/>
      <c r="L11" s="262"/>
      <c r="M11" s="350"/>
      <c r="N11" s="216"/>
    </row>
    <row r="12" spans="1:17" s="116" customFormat="1" ht="25.5" x14ac:dyDescent="0.25">
      <c r="A12" s="148" t="s">
        <v>287</v>
      </c>
      <c r="B12" s="437"/>
      <c r="C12" s="437"/>
      <c r="D12" s="439"/>
      <c r="E12" s="396"/>
      <c r="F12" s="362">
        <f>PNUD!V13</f>
        <v>0</v>
      </c>
      <c r="G12" s="362">
        <f>PNUD!AP13</f>
        <v>48150</v>
      </c>
      <c r="H12" s="377">
        <f t="shared" si="0"/>
        <v>48150</v>
      </c>
      <c r="I12" s="209"/>
      <c r="J12" s="262">
        <v>48150</v>
      </c>
      <c r="K12" s="262"/>
      <c r="L12" s="262"/>
      <c r="M12" s="350"/>
      <c r="N12" s="216"/>
    </row>
    <row r="13" spans="1:17" s="116" customFormat="1" ht="38.25" x14ac:dyDescent="0.25">
      <c r="A13" s="148" t="s">
        <v>288</v>
      </c>
      <c r="B13" s="437"/>
      <c r="C13" s="437"/>
      <c r="D13" s="439"/>
      <c r="E13" s="396"/>
      <c r="F13" s="362">
        <f>PNUD!V14</f>
        <v>0</v>
      </c>
      <c r="G13" s="362">
        <f>PNUD!AP14</f>
        <v>9000</v>
      </c>
      <c r="H13" s="377">
        <f t="shared" si="0"/>
        <v>9000</v>
      </c>
      <c r="I13" s="209"/>
      <c r="J13" s="262">
        <v>9000</v>
      </c>
      <c r="K13" s="262"/>
      <c r="L13" s="262"/>
      <c r="M13" s="350"/>
      <c r="N13" s="216"/>
    </row>
    <row r="14" spans="1:17" s="147" customFormat="1" ht="63.75" x14ac:dyDescent="0.25">
      <c r="A14" s="149" t="s">
        <v>143</v>
      </c>
      <c r="B14" s="437"/>
      <c r="C14" s="437"/>
      <c r="D14" s="439"/>
      <c r="E14" s="396"/>
      <c r="F14" s="362"/>
      <c r="G14" s="362">
        <f>PNUD!AP15</f>
        <v>98100</v>
      </c>
      <c r="H14" s="377">
        <f t="shared" si="0"/>
        <v>98100</v>
      </c>
      <c r="I14" s="209"/>
      <c r="J14" s="262">
        <v>98100</v>
      </c>
      <c r="K14" s="262"/>
      <c r="L14" s="262"/>
      <c r="M14" s="350"/>
      <c r="N14" s="216"/>
    </row>
    <row r="15" spans="1:17" s="147" customFormat="1" ht="38.25" x14ac:dyDescent="0.25">
      <c r="A15" s="150" t="s">
        <v>144</v>
      </c>
      <c r="B15" s="438"/>
      <c r="C15" s="437"/>
      <c r="D15" s="439"/>
      <c r="E15" s="396"/>
      <c r="F15" s="362"/>
      <c r="G15" s="362">
        <f>PNUD!AP16</f>
        <v>20000</v>
      </c>
      <c r="H15" s="377">
        <f t="shared" si="0"/>
        <v>20000</v>
      </c>
      <c r="I15" s="209"/>
      <c r="J15" s="262">
        <v>20000</v>
      </c>
      <c r="K15" s="262"/>
      <c r="L15" s="262"/>
      <c r="M15" s="350"/>
      <c r="N15" s="222"/>
    </row>
    <row r="16" spans="1:17" ht="63.75" x14ac:dyDescent="0.25">
      <c r="A16" s="152" t="s">
        <v>145</v>
      </c>
      <c r="B16" s="152" t="s">
        <v>32</v>
      </c>
      <c r="C16" s="437"/>
      <c r="D16" s="439"/>
      <c r="E16" s="396"/>
      <c r="F16" s="362">
        <f>Presupuesto!B17</f>
        <v>0</v>
      </c>
      <c r="G16" s="362">
        <f>28374-10000</f>
        <v>18374</v>
      </c>
      <c r="H16" s="366">
        <f t="shared" si="0"/>
        <v>18374</v>
      </c>
      <c r="I16" s="335" t="s">
        <v>90</v>
      </c>
      <c r="J16" s="262"/>
      <c r="K16" s="262">
        <v>18374</v>
      </c>
      <c r="L16" s="262"/>
      <c r="M16" s="350"/>
      <c r="N16" s="216"/>
      <c r="O16" s="218" t="s">
        <v>90</v>
      </c>
      <c r="Q16" t="s">
        <v>90</v>
      </c>
    </row>
    <row r="17" spans="1:15" ht="25.5" x14ac:dyDescent="0.25">
      <c r="A17" s="152" t="s">
        <v>149</v>
      </c>
      <c r="B17" s="152" t="s">
        <v>146</v>
      </c>
      <c r="C17" s="437"/>
      <c r="D17" s="439"/>
      <c r="E17" s="396"/>
      <c r="F17" s="362">
        <f>Presupuesto!B18</f>
        <v>0</v>
      </c>
      <c r="G17" s="362">
        <f>PNUD!AP18+PNUD!AP17</f>
        <v>30250</v>
      </c>
      <c r="H17" s="366">
        <f t="shared" si="0"/>
        <v>30250</v>
      </c>
      <c r="I17" s="335"/>
      <c r="J17" s="262">
        <v>30250</v>
      </c>
      <c r="K17" s="262"/>
      <c r="L17" s="262"/>
      <c r="M17" s="350"/>
      <c r="N17" s="209"/>
      <c r="O17" s="218" t="s">
        <v>90</v>
      </c>
    </row>
    <row r="18" spans="1:15" ht="51" x14ac:dyDescent="0.25">
      <c r="A18" s="151" t="s">
        <v>147</v>
      </c>
      <c r="B18" s="151" t="s">
        <v>22</v>
      </c>
      <c r="C18" s="437"/>
      <c r="D18" s="439"/>
      <c r="E18" s="396"/>
      <c r="F18" s="362">
        <f>Presupuesto!B19</f>
        <v>0</v>
      </c>
      <c r="G18" s="362">
        <f>PNUD!AP19</f>
        <v>17800</v>
      </c>
      <c r="H18" s="377">
        <f t="shared" si="0"/>
        <v>17800</v>
      </c>
      <c r="J18" s="262">
        <v>17800</v>
      </c>
      <c r="K18" s="262"/>
      <c r="L18" s="262"/>
      <c r="M18" s="350"/>
      <c r="N18" s="209"/>
    </row>
    <row r="19" spans="1:15" ht="51" x14ac:dyDescent="0.25">
      <c r="A19" s="151" t="s">
        <v>148</v>
      </c>
      <c r="B19" s="151" t="s">
        <v>18</v>
      </c>
      <c r="C19" s="438"/>
      <c r="D19" s="440"/>
      <c r="E19" s="397"/>
      <c r="F19" s="362">
        <f>Presupuesto!B20</f>
        <v>0</v>
      </c>
      <c r="G19" s="362">
        <f>PNUD!AP20</f>
        <v>12000</v>
      </c>
      <c r="H19" s="377">
        <f t="shared" si="0"/>
        <v>12000</v>
      </c>
      <c r="J19" s="262">
        <v>12000</v>
      </c>
      <c r="K19" s="262"/>
      <c r="L19" s="262"/>
      <c r="M19" s="350"/>
      <c r="N19" s="209"/>
    </row>
    <row r="20" spans="1:15" ht="20.45" customHeight="1" x14ac:dyDescent="0.25">
      <c r="A20" s="444" t="s">
        <v>153</v>
      </c>
      <c r="B20" s="445"/>
      <c r="C20" s="445"/>
      <c r="D20" s="445"/>
      <c r="E20" s="446"/>
      <c r="F20" s="375">
        <f>SUM(F21:F23)</f>
        <v>0</v>
      </c>
      <c r="G20" s="375">
        <f>SUM(G21:G23)</f>
        <v>25500</v>
      </c>
      <c r="H20" s="375">
        <f>G20+F20</f>
        <v>25500</v>
      </c>
      <c r="J20" s="262"/>
      <c r="K20" s="262"/>
      <c r="L20" s="262"/>
      <c r="M20" s="350"/>
      <c r="N20" s="209"/>
    </row>
    <row r="21" spans="1:15" ht="140.25" x14ac:dyDescent="0.25">
      <c r="A21" s="158" t="s">
        <v>35</v>
      </c>
      <c r="B21" s="158" t="s">
        <v>154</v>
      </c>
      <c r="C21" s="447" t="s">
        <v>155</v>
      </c>
      <c r="D21" s="156" t="s">
        <v>156</v>
      </c>
      <c r="E21" s="428" t="s">
        <v>254</v>
      </c>
      <c r="F21" s="362">
        <f>Presupuesto!B22</f>
        <v>0</v>
      </c>
      <c r="G21" s="362">
        <f>Presupuesto!C22</f>
        <v>10500</v>
      </c>
      <c r="H21" s="374">
        <f>F21+G21</f>
        <v>10500</v>
      </c>
      <c r="J21" s="262">
        <v>10500</v>
      </c>
      <c r="K21" s="262"/>
      <c r="L21" s="262"/>
      <c r="M21" s="350"/>
      <c r="N21" s="209"/>
    </row>
    <row r="22" spans="1:15" s="153" customFormat="1" ht="51" x14ac:dyDescent="0.25">
      <c r="A22" s="231" t="s">
        <v>157</v>
      </c>
      <c r="B22" s="231" t="s">
        <v>158</v>
      </c>
      <c r="C22" s="437"/>
      <c r="D22" s="156"/>
      <c r="E22" s="429"/>
      <c r="F22" s="362">
        <v>0</v>
      </c>
      <c r="G22" s="362">
        <f>PNUD!AP23</f>
        <v>10000</v>
      </c>
      <c r="H22" s="374">
        <f>F22+G22</f>
        <v>10000</v>
      </c>
      <c r="I22" s="209"/>
      <c r="J22" s="262">
        <v>10000</v>
      </c>
      <c r="K22" s="262"/>
      <c r="L22" s="262"/>
      <c r="M22" s="350"/>
      <c r="N22" s="209"/>
    </row>
    <row r="23" spans="1:15" ht="51" x14ac:dyDescent="0.25">
      <c r="A23" s="157" t="s">
        <v>19</v>
      </c>
      <c r="B23" s="157" t="s">
        <v>159</v>
      </c>
      <c r="C23" s="438"/>
      <c r="D23" s="157" t="s">
        <v>37</v>
      </c>
      <c r="E23" s="430"/>
      <c r="F23" s="362">
        <f>Presupuesto!B24</f>
        <v>0</v>
      </c>
      <c r="G23" s="362">
        <f>Presupuesto!C24</f>
        <v>5000</v>
      </c>
      <c r="H23" s="374">
        <f>F23+G23</f>
        <v>5000</v>
      </c>
      <c r="J23" s="262">
        <v>5000</v>
      </c>
      <c r="K23" s="262"/>
      <c r="L23" s="262"/>
      <c r="M23" s="350"/>
      <c r="N23" s="209"/>
    </row>
    <row r="24" spans="1:15" ht="43.5" customHeight="1" x14ac:dyDescent="0.25">
      <c r="A24" s="410" t="s">
        <v>173</v>
      </c>
      <c r="B24" s="411"/>
      <c r="C24" s="411"/>
      <c r="D24" s="411"/>
      <c r="E24" s="412"/>
      <c r="F24" s="375">
        <f>SUM(F25:F28)</f>
        <v>0</v>
      </c>
      <c r="G24" s="375">
        <f>SUM(G25:G28)</f>
        <v>78050</v>
      </c>
      <c r="H24" s="375">
        <f>G24+F24</f>
        <v>78050</v>
      </c>
      <c r="J24" s="262"/>
      <c r="K24" s="262"/>
      <c r="L24" s="262"/>
      <c r="M24" s="350"/>
      <c r="N24" s="209"/>
    </row>
    <row r="25" spans="1:15" ht="51.75" x14ac:dyDescent="0.25">
      <c r="A25" s="162" t="s">
        <v>160</v>
      </c>
      <c r="B25" s="163" t="s">
        <v>161</v>
      </c>
      <c r="C25" s="447" t="s">
        <v>162</v>
      </c>
      <c r="D25" s="164" t="s">
        <v>163</v>
      </c>
      <c r="E25" s="428" t="s">
        <v>255</v>
      </c>
      <c r="F25" s="378">
        <f>Presupuesto!B26</f>
        <v>0</v>
      </c>
      <c r="G25" s="378">
        <f>Presupuesto!C26</f>
        <v>5000</v>
      </c>
      <c r="H25" s="374">
        <f>F25+G25</f>
        <v>5000</v>
      </c>
      <c r="J25" s="262">
        <v>5000</v>
      </c>
      <c r="K25" s="262"/>
      <c r="L25" s="262"/>
      <c r="M25" s="350"/>
      <c r="N25" s="209"/>
    </row>
    <row r="26" spans="1:15" ht="76.5" x14ac:dyDescent="0.25">
      <c r="A26" s="165" t="s">
        <v>38</v>
      </c>
      <c r="B26" s="166" t="s">
        <v>164</v>
      </c>
      <c r="C26" s="437"/>
      <c r="D26" s="160" t="s">
        <v>165</v>
      </c>
      <c r="E26" s="429"/>
      <c r="F26" s="378">
        <f>Presupuesto!B27</f>
        <v>0</v>
      </c>
      <c r="G26" s="378">
        <f>Presupuesto!C27</f>
        <v>27800</v>
      </c>
      <c r="H26" s="374">
        <f>F26+G26</f>
        <v>27800</v>
      </c>
      <c r="J26" s="262">
        <v>27800</v>
      </c>
      <c r="K26" s="262"/>
      <c r="L26" s="262"/>
      <c r="M26" s="350"/>
      <c r="N26" s="209"/>
    </row>
    <row r="27" spans="1:15" s="159" customFormat="1" ht="76.5" x14ac:dyDescent="0.25">
      <c r="A27" s="166" t="s">
        <v>166</v>
      </c>
      <c r="B27" s="166" t="s">
        <v>167</v>
      </c>
      <c r="C27" s="437"/>
      <c r="D27" s="160" t="s">
        <v>168</v>
      </c>
      <c r="E27" s="430"/>
      <c r="F27" s="378">
        <v>0</v>
      </c>
      <c r="G27" s="378">
        <f>PNUD!AP28</f>
        <v>18250</v>
      </c>
      <c r="H27" s="374">
        <f>F27+G27</f>
        <v>18250</v>
      </c>
      <c r="I27" s="209"/>
      <c r="J27" s="262">
        <v>18250</v>
      </c>
      <c r="K27" s="262"/>
      <c r="L27" s="262"/>
      <c r="M27" s="350"/>
      <c r="N27" s="209"/>
    </row>
    <row r="28" spans="1:15" ht="102" x14ac:dyDescent="0.25">
      <c r="A28" s="166" t="s">
        <v>246</v>
      </c>
      <c r="B28" s="166" t="s">
        <v>170</v>
      </c>
      <c r="C28" s="438"/>
      <c r="D28" s="160"/>
      <c r="E28" s="161"/>
      <c r="F28" s="378">
        <f>Presupuesto!B29</f>
        <v>0</v>
      </c>
      <c r="G28" s="378">
        <f>Presupuesto!C29</f>
        <v>27000</v>
      </c>
      <c r="H28" s="374">
        <f>F28+G28</f>
        <v>27000</v>
      </c>
      <c r="J28" s="262">
        <v>27000</v>
      </c>
      <c r="K28" s="262"/>
      <c r="L28" s="262"/>
      <c r="M28" s="350"/>
      <c r="N28" s="209"/>
    </row>
    <row r="29" spans="1:15" ht="27" customHeight="1" x14ac:dyDescent="0.25">
      <c r="A29" s="410" t="s">
        <v>174</v>
      </c>
      <c r="B29" s="411"/>
      <c r="C29" s="411"/>
      <c r="D29" s="411"/>
      <c r="E29" s="412"/>
      <c r="F29" s="375">
        <f>SUM(F30:F31)</f>
        <v>18750</v>
      </c>
      <c r="G29" s="375">
        <f>SUM(G30:G31)</f>
        <v>411340</v>
      </c>
      <c r="H29" s="375">
        <f>G29+F29</f>
        <v>430090</v>
      </c>
      <c r="J29" s="262"/>
      <c r="K29" s="262"/>
      <c r="L29" s="262"/>
      <c r="M29" s="350"/>
      <c r="N29" s="209"/>
    </row>
    <row r="30" spans="1:15" ht="38.25" x14ac:dyDescent="0.25">
      <c r="A30" s="168" t="s">
        <v>48</v>
      </c>
      <c r="B30" s="224" t="s">
        <v>42</v>
      </c>
      <c r="C30" s="447" t="s">
        <v>171</v>
      </c>
      <c r="D30" s="168" t="s">
        <v>43</v>
      </c>
      <c r="E30" s="167"/>
      <c r="F30" s="362">
        <f>Presupuesto!B31</f>
        <v>18750</v>
      </c>
      <c r="G30" s="362">
        <f>Presupuesto!C31</f>
        <v>328340</v>
      </c>
      <c r="H30" s="362">
        <f>F30+G30</f>
        <v>347090</v>
      </c>
      <c r="J30" s="262">
        <f>328340+18750</f>
        <v>347090</v>
      </c>
      <c r="K30" s="262"/>
      <c r="L30" s="262"/>
      <c r="M30" s="350"/>
      <c r="N30" s="209"/>
    </row>
    <row r="31" spans="1:15" s="220" customFormat="1" ht="23.25" customHeight="1" x14ac:dyDescent="0.25">
      <c r="A31" s="233" t="s">
        <v>172</v>
      </c>
      <c r="B31" s="231" t="s">
        <v>267</v>
      </c>
      <c r="C31" s="454"/>
      <c r="D31" s="233"/>
      <c r="E31" s="169"/>
      <c r="F31" s="373"/>
      <c r="G31" s="373">
        <v>83000</v>
      </c>
      <c r="H31" s="373">
        <f>F31+G31</f>
        <v>83000</v>
      </c>
      <c r="J31" s="353"/>
      <c r="K31" s="353">
        <v>33000</v>
      </c>
      <c r="L31" s="353">
        <v>50000</v>
      </c>
      <c r="M31" s="354"/>
    </row>
    <row r="32" spans="1:15" ht="29.25" customHeight="1" x14ac:dyDescent="0.25">
      <c r="A32" s="415" t="s">
        <v>175</v>
      </c>
      <c r="B32" s="416"/>
      <c r="C32" s="416"/>
      <c r="D32" s="416"/>
      <c r="E32" s="417"/>
      <c r="F32" s="379">
        <f>F33+F38+F42</f>
        <v>0</v>
      </c>
      <c r="G32" s="379">
        <f>G33+G38+G42</f>
        <v>92000</v>
      </c>
      <c r="H32" s="379">
        <f>G32+F32</f>
        <v>92000</v>
      </c>
      <c r="J32" s="262"/>
      <c r="K32" s="262"/>
      <c r="L32" s="262"/>
      <c r="M32" s="350"/>
      <c r="N32" s="209"/>
    </row>
    <row r="33" spans="1:14" ht="45.75" customHeight="1" x14ac:dyDescent="0.25">
      <c r="A33" s="420" t="s">
        <v>50</v>
      </c>
      <c r="B33" s="421"/>
      <c r="C33" s="421"/>
      <c r="D33" s="421"/>
      <c r="E33" s="422"/>
      <c r="F33" s="380">
        <f>SUM(F34:F37)</f>
        <v>0</v>
      </c>
      <c r="G33" s="380">
        <f>SUM(G34:G37)</f>
        <v>12000</v>
      </c>
      <c r="H33" s="380">
        <f>SUM(H34:H37)</f>
        <v>12000</v>
      </c>
      <c r="J33" s="262"/>
      <c r="K33" s="262"/>
      <c r="L33" s="262"/>
      <c r="M33" s="350"/>
      <c r="N33" s="216"/>
    </row>
    <row r="34" spans="1:14" ht="51" x14ac:dyDescent="0.25">
      <c r="A34" s="173" t="s">
        <v>9</v>
      </c>
      <c r="B34" s="347" t="s">
        <v>269</v>
      </c>
      <c r="C34" s="395" t="s">
        <v>177</v>
      </c>
      <c r="D34" s="171" t="s">
        <v>45</v>
      </c>
      <c r="E34" s="385" t="s">
        <v>258</v>
      </c>
      <c r="F34" s="373">
        <v>0</v>
      </c>
      <c r="G34" s="373">
        <v>0</v>
      </c>
      <c r="H34" s="374">
        <f>G34+F34</f>
        <v>0</v>
      </c>
      <c r="J34" s="262"/>
      <c r="K34" s="262"/>
      <c r="L34" s="262"/>
      <c r="M34" s="350"/>
      <c r="N34" s="216"/>
    </row>
    <row r="35" spans="1:14" ht="38.25" x14ac:dyDescent="0.25">
      <c r="A35" s="174" t="s">
        <v>178</v>
      </c>
      <c r="B35" s="175" t="s">
        <v>179</v>
      </c>
      <c r="C35" s="396"/>
      <c r="D35" s="171"/>
      <c r="E35" s="386"/>
      <c r="F35" s="381">
        <v>0</v>
      </c>
      <c r="G35" s="373">
        <v>12000</v>
      </c>
      <c r="H35" s="374">
        <f t="shared" ref="H35:H37" si="1">G35+F35</f>
        <v>12000</v>
      </c>
      <c r="J35" s="262"/>
      <c r="K35" s="262">
        <v>12000</v>
      </c>
      <c r="L35" s="262"/>
      <c r="M35" s="350"/>
      <c r="N35" s="218"/>
    </row>
    <row r="36" spans="1:14" s="170" customFormat="1" ht="38.25" x14ac:dyDescent="0.25">
      <c r="A36" s="172" t="s">
        <v>180</v>
      </c>
      <c r="B36" s="206" t="s">
        <v>270</v>
      </c>
      <c r="C36" s="396"/>
      <c r="D36" s="171" t="s">
        <v>46</v>
      </c>
      <c r="E36" s="386"/>
      <c r="F36" s="373">
        <v>0</v>
      </c>
      <c r="G36" s="373">
        <v>0</v>
      </c>
      <c r="H36" s="374">
        <f t="shared" si="1"/>
        <v>0</v>
      </c>
      <c r="I36" s="209"/>
      <c r="J36" s="262"/>
      <c r="K36" s="262"/>
      <c r="L36" s="262"/>
      <c r="M36" s="350"/>
      <c r="N36" s="216"/>
    </row>
    <row r="37" spans="1:14" ht="38.25" x14ac:dyDescent="0.25">
      <c r="A37" s="172" t="s">
        <v>272</v>
      </c>
      <c r="B37" s="206" t="s">
        <v>271</v>
      </c>
      <c r="C37" s="397"/>
      <c r="D37" s="171" t="s">
        <v>47</v>
      </c>
      <c r="E37" s="387"/>
      <c r="F37" s="373">
        <v>0</v>
      </c>
      <c r="G37" s="373">
        <v>0</v>
      </c>
      <c r="H37" s="374">
        <f t="shared" si="1"/>
        <v>0</v>
      </c>
      <c r="J37" s="262"/>
      <c r="K37" s="262"/>
      <c r="L37" s="262"/>
      <c r="M37" s="350"/>
      <c r="N37" s="216"/>
    </row>
    <row r="38" spans="1:14" ht="33" customHeight="1" x14ac:dyDescent="0.25">
      <c r="A38" s="423" t="s">
        <v>78</v>
      </c>
      <c r="B38" s="424"/>
      <c r="C38" s="424"/>
      <c r="D38" s="424"/>
      <c r="E38" s="425"/>
      <c r="F38" s="380">
        <f>SUM(F39:F41)</f>
        <v>0</v>
      </c>
      <c r="G38" s="380">
        <f>SUM(G39:G41)</f>
        <v>40000</v>
      </c>
      <c r="H38" s="380">
        <f>SUM(H39:H41)</f>
        <v>40000</v>
      </c>
      <c r="J38" s="262"/>
      <c r="K38" s="262"/>
      <c r="L38" s="262"/>
      <c r="M38" s="350"/>
      <c r="N38" s="216"/>
    </row>
    <row r="39" spans="1:14" ht="25.5" x14ac:dyDescent="0.25">
      <c r="A39" s="178" t="s">
        <v>5</v>
      </c>
      <c r="B39" s="197" t="s">
        <v>268</v>
      </c>
      <c r="C39" s="395" t="s">
        <v>182</v>
      </c>
      <c r="D39" s="182" t="s">
        <v>49</v>
      </c>
      <c r="E39" s="385" t="s">
        <v>259</v>
      </c>
      <c r="F39" s="373">
        <v>0</v>
      </c>
      <c r="G39" s="373">
        <v>0</v>
      </c>
      <c r="H39" s="374">
        <f>F39+G39</f>
        <v>0</v>
      </c>
      <c r="J39" s="262"/>
      <c r="K39" s="262"/>
      <c r="L39" s="262"/>
      <c r="M39" s="350"/>
      <c r="N39" s="220"/>
    </row>
    <row r="40" spans="1:14" ht="39" x14ac:dyDescent="0.25">
      <c r="A40" s="176" t="s">
        <v>183</v>
      </c>
      <c r="B40" s="180" t="s">
        <v>184</v>
      </c>
      <c r="C40" s="396"/>
      <c r="D40" s="183" t="s">
        <v>47</v>
      </c>
      <c r="E40" s="386"/>
      <c r="F40" s="362"/>
      <c r="G40" s="362">
        <v>30000</v>
      </c>
      <c r="H40" s="374">
        <f>F40+G40</f>
        <v>30000</v>
      </c>
      <c r="J40" s="262"/>
      <c r="K40" s="262">
        <v>30000</v>
      </c>
      <c r="L40" s="262"/>
      <c r="M40" s="350"/>
      <c r="N40" s="216"/>
    </row>
    <row r="41" spans="1:14" ht="51.75" x14ac:dyDescent="0.25">
      <c r="A41" s="177" t="s">
        <v>185</v>
      </c>
      <c r="B41" s="181" t="s">
        <v>186</v>
      </c>
      <c r="C41" s="397"/>
      <c r="D41" s="179"/>
      <c r="E41" s="387"/>
      <c r="F41" s="381">
        <v>0</v>
      </c>
      <c r="G41" s="381">
        <v>10000</v>
      </c>
      <c r="H41" s="374">
        <f>F41+G41</f>
        <v>10000</v>
      </c>
      <c r="J41" s="262"/>
      <c r="K41" s="262">
        <v>10000</v>
      </c>
      <c r="L41" s="262"/>
      <c r="M41" s="350"/>
      <c r="N41" s="216"/>
    </row>
    <row r="42" spans="1:14" s="184" customFormat="1" ht="25.15" customHeight="1" x14ac:dyDescent="0.25">
      <c r="A42" s="455" t="s">
        <v>187</v>
      </c>
      <c r="B42" s="456"/>
      <c r="C42" s="456"/>
      <c r="D42" s="456"/>
      <c r="E42" s="457"/>
      <c r="F42" s="380">
        <f>SUM(F43:F44)</f>
        <v>0</v>
      </c>
      <c r="G42" s="380">
        <f>SUM(G43:G44)</f>
        <v>40000</v>
      </c>
      <c r="H42" s="380">
        <f>SUM(H43:H44)</f>
        <v>40000</v>
      </c>
      <c r="I42" s="209"/>
      <c r="J42" s="262"/>
      <c r="K42" s="262"/>
      <c r="L42" s="262"/>
      <c r="M42" s="350"/>
      <c r="N42" s="216"/>
    </row>
    <row r="43" spans="1:14" s="184" customFormat="1" ht="51" x14ac:dyDescent="0.25">
      <c r="A43" s="185" t="s">
        <v>188</v>
      </c>
      <c r="B43" s="185" t="s">
        <v>189</v>
      </c>
      <c r="C43" s="447" t="s">
        <v>190</v>
      </c>
      <c r="D43" s="185" t="s">
        <v>191</v>
      </c>
      <c r="E43" s="458" t="s">
        <v>260</v>
      </c>
      <c r="F43" s="362">
        <v>0</v>
      </c>
      <c r="G43" s="362">
        <v>20000</v>
      </c>
      <c r="H43" s="374">
        <f>F43+G43</f>
        <v>20000</v>
      </c>
      <c r="I43" s="209"/>
      <c r="J43" s="262"/>
      <c r="K43" s="262">
        <v>20000</v>
      </c>
      <c r="L43" s="262"/>
      <c r="M43" s="350"/>
      <c r="N43" s="216"/>
    </row>
    <row r="44" spans="1:14" s="184" customFormat="1" ht="38.25" x14ac:dyDescent="0.25">
      <c r="A44" s="185" t="s">
        <v>192</v>
      </c>
      <c r="B44" s="186" t="s">
        <v>193</v>
      </c>
      <c r="C44" s="438"/>
      <c r="D44" s="185" t="s">
        <v>194</v>
      </c>
      <c r="E44" s="459"/>
      <c r="F44" s="362">
        <v>0</v>
      </c>
      <c r="G44" s="362">
        <v>20000</v>
      </c>
      <c r="H44" s="374">
        <f>G44+F44</f>
        <v>20000</v>
      </c>
      <c r="I44" s="209"/>
      <c r="J44" s="262"/>
      <c r="K44" s="262">
        <v>20000</v>
      </c>
      <c r="L44" s="262"/>
      <c r="M44" s="350"/>
      <c r="N44" s="216"/>
    </row>
    <row r="45" spans="1:14" ht="44.25" customHeight="1" x14ac:dyDescent="0.25">
      <c r="A45" s="415" t="s">
        <v>289</v>
      </c>
      <c r="B45" s="416"/>
      <c r="C45" s="416"/>
      <c r="D45" s="416"/>
      <c r="E45" s="417"/>
      <c r="F45" s="379">
        <f>F46</f>
        <v>0</v>
      </c>
      <c r="G45" s="379">
        <f>G46</f>
        <v>54000</v>
      </c>
      <c r="H45" s="379">
        <f>H46</f>
        <v>54000</v>
      </c>
      <c r="J45" s="262"/>
      <c r="K45" s="262"/>
      <c r="L45" s="262"/>
      <c r="M45" s="350"/>
      <c r="N45" s="216"/>
    </row>
    <row r="46" spans="1:14" ht="42" customHeight="1" x14ac:dyDescent="0.25">
      <c r="A46" s="398" t="s">
        <v>195</v>
      </c>
      <c r="B46" s="399"/>
      <c r="C46" s="399"/>
      <c r="D46" s="399"/>
      <c r="E46" s="400"/>
      <c r="F46" s="375">
        <f>SUM(F47:F50)</f>
        <v>0</v>
      </c>
      <c r="G46" s="375">
        <f>SUM(G47:G50)</f>
        <v>54000</v>
      </c>
      <c r="H46" s="375">
        <f>SUM(H47:H50)</f>
        <v>54000</v>
      </c>
      <c r="J46" s="262"/>
      <c r="K46" s="262"/>
      <c r="L46" s="262"/>
      <c r="M46" s="350"/>
      <c r="N46" s="216"/>
    </row>
    <row r="47" spans="1:14" ht="63.75" x14ac:dyDescent="0.25">
      <c r="A47" s="188" t="s">
        <v>56</v>
      </c>
      <c r="B47" s="188" t="s">
        <v>51</v>
      </c>
      <c r="C47" s="447" t="s">
        <v>196</v>
      </c>
      <c r="D47" s="188" t="s">
        <v>52</v>
      </c>
      <c r="E47" s="392" t="s">
        <v>261</v>
      </c>
      <c r="F47" s="362">
        <v>0</v>
      </c>
      <c r="G47" s="362">
        <v>23000</v>
      </c>
      <c r="H47" s="374">
        <f>F47+G47</f>
        <v>23000</v>
      </c>
      <c r="J47" s="262"/>
      <c r="K47" s="262"/>
      <c r="L47" s="262">
        <v>23000</v>
      </c>
      <c r="M47" s="350"/>
      <c r="N47" s="216"/>
    </row>
    <row r="48" spans="1:14" ht="25.5" x14ac:dyDescent="0.25">
      <c r="A48" s="188" t="s">
        <v>197</v>
      </c>
      <c r="B48" s="188" t="s">
        <v>53</v>
      </c>
      <c r="C48" s="437"/>
      <c r="D48" s="188" t="s">
        <v>54</v>
      </c>
      <c r="E48" s="393"/>
      <c r="F48" s="362">
        <v>0</v>
      </c>
      <c r="G48" s="362">
        <v>10000</v>
      </c>
      <c r="H48" s="374">
        <f t="shared" ref="H48:H50" si="2">F48+G48</f>
        <v>10000</v>
      </c>
      <c r="J48" s="262"/>
      <c r="K48" s="262"/>
      <c r="L48" s="262">
        <v>10000</v>
      </c>
      <c r="M48" s="350"/>
      <c r="N48" s="216"/>
    </row>
    <row r="49" spans="1:14" s="187" customFormat="1" ht="38.25" x14ac:dyDescent="0.25">
      <c r="A49" s="188" t="s">
        <v>198</v>
      </c>
      <c r="B49" s="188" t="s">
        <v>53</v>
      </c>
      <c r="C49" s="437"/>
      <c r="D49" s="188"/>
      <c r="E49" s="393"/>
      <c r="F49" s="362">
        <v>0</v>
      </c>
      <c r="G49" s="362">
        <v>10000</v>
      </c>
      <c r="H49" s="374">
        <f t="shared" si="2"/>
        <v>10000</v>
      </c>
      <c r="I49" s="209"/>
      <c r="J49" s="262"/>
      <c r="K49" s="262"/>
      <c r="L49" s="262">
        <v>10000</v>
      </c>
      <c r="M49" s="350"/>
      <c r="N49" s="216"/>
    </row>
    <row r="50" spans="1:14" ht="148.69999999999999" customHeight="1" x14ac:dyDescent="0.25">
      <c r="A50" s="190" t="s">
        <v>57</v>
      </c>
      <c r="B50" s="189" t="s">
        <v>55</v>
      </c>
      <c r="C50" s="438"/>
      <c r="D50" s="189" t="s">
        <v>47</v>
      </c>
      <c r="E50" s="394"/>
      <c r="F50" s="362">
        <v>0</v>
      </c>
      <c r="G50" s="362">
        <v>11000</v>
      </c>
      <c r="H50" s="374">
        <f t="shared" si="2"/>
        <v>11000</v>
      </c>
      <c r="J50" s="262"/>
      <c r="K50" s="262">
        <v>11000</v>
      </c>
      <c r="L50" s="262"/>
      <c r="M50" s="350"/>
      <c r="N50" s="216"/>
    </row>
    <row r="51" spans="1:14" ht="71.25" customHeight="1" x14ac:dyDescent="0.25">
      <c r="A51" s="407" t="s">
        <v>226</v>
      </c>
      <c r="B51" s="408"/>
      <c r="C51" s="408"/>
      <c r="D51" s="408"/>
      <c r="E51" s="409"/>
      <c r="F51" s="379">
        <f>F52+F69</f>
        <v>103910</v>
      </c>
      <c r="G51" s="379">
        <f>G52+G69</f>
        <v>690843.22</v>
      </c>
      <c r="H51" s="379">
        <f>SUM(F51:G51)</f>
        <v>794753.22</v>
      </c>
      <c r="J51" s="337"/>
      <c r="K51" s="337"/>
      <c r="L51" s="337"/>
      <c r="M51" s="350"/>
      <c r="N51" s="216"/>
    </row>
    <row r="52" spans="1:14" ht="36" customHeight="1" x14ac:dyDescent="0.25">
      <c r="A52" s="410" t="s">
        <v>59</v>
      </c>
      <c r="B52" s="411"/>
      <c r="C52" s="411"/>
      <c r="D52" s="411"/>
      <c r="E52" s="412"/>
      <c r="F52" s="375">
        <f>SUM(F53:F68)</f>
        <v>103910</v>
      </c>
      <c r="G52" s="375">
        <f>SUM(G53:G68)</f>
        <v>638614</v>
      </c>
      <c r="H52" s="375">
        <f>F52+G52</f>
        <v>742524</v>
      </c>
      <c r="J52" s="337"/>
      <c r="K52" s="337"/>
      <c r="L52" s="337">
        <v>742524</v>
      </c>
      <c r="M52" s="350"/>
      <c r="N52" s="216"/>
    </row>
    <row r="53" spans="1:14" ht="89.25" x14ac:dyDescent="0.25">
      <c r="A53" s="193" t="s">
        <v>10</v>
      </c>
      <c r="B53" s="206" t="s">
        <v>60</v>
      </c>
      <c r="C53" s="395" t="s">
        <v>274</v>
      </c>
      <c r="D53" s="192" t="s">
        <v>61</v>
      </c>
      <c r="E53" s="395" t="s">
        <v>262</v>
      </c>
      <c r="F53" s="362"/>
      <c r="G53" s="362"/>
      <c r="H53" s="362" t="s">
        <v>199</v>
      </c>
      <c r="J53" s="264"/>
      <c r="K53" s="264"/>
      <c r="L53" s="264"/>
      <c r="M53" s="350"/>
      <c r="N53" s="216"/>
    </row>
    <row r="54" spans="1:14" ht="38.25" x14ac:dyDescent="0.25">
      <c r="A54" s="193" t="s">
        <v>23</v>
      </c>
      <c r="B54" s="206" t="s">
        <v>62</v>
      </c>
      <c r="C54" s="396"/>
      <c r="D54" s="192" t="s">
        <v>63</v>
      </c>
      <c r="E54" s="396"/>
      <c r="F54" s="362"/>
      <c r="G54" s="362"/>
      <c r="H54" s="362" t="s">
        <v>199</v>
      </c>
      <c r="I54" s="154"/>
      <c r="J54" s="264"/>
      <c r="K54" s="264"/>
      <c r="L54" s="264"/>
      <c r="M54" s="350"/>
      <c r="N54" s="216"/>
    </row>
    <row r="55" spans="1:14" ht="51" x14ac:dyDescent="0.25">
      <c r="A55" s="193" t="s">
        <v>200</v>
      </c>
      <c r="B55" s="206" t="s">
        <v>201</v>
      </c>
      <c r="C55" s="396"/>
      <c r="D55" s="196" t="s">
        <v>202</v>
      </c>
      <c r="E55" s="396"/>
      <c r="F55" s="363"/>
      <c r="G55" s="363" t="s">
        <v>203</v>
      </c>
      <c r="H55" s="363"/>
      <c r="I55" s="214"/>
      <c r="J55" s="264"/>
      <c r="K55" s="264"/>
      <c r="L55" s="264"/>
      <c r="M55" s="350"/>
      <c r="N55" s="216"/>
    </row>
    <row r="56" spans="1:14" ht="38.25" x14ac:dyDescent="0.25">
      <c r="A56" s="204" t="s">
        <v>24</v>
      </c>
      <c r="B56" s="197" t="s">
        <v>64</v>
      </c>
      <c r="C56" s="397"/>
      <c r="D56" s="196" t="s">
        <v>204</v>
      </c>
      <c r="E56" s="397"/>
      <c r="F56" s="362"/>
      <c r="G56" s="362"/>
      <c r="H56" s="362" t="s">
        <v>199</v>
      </c>
      <c r="I56" s="154"/>
      <c r="J56" s="264"/>
      <c r="K56" s="264"/>
      <c r="L56" s="264"/>
      <c r="M56" s="350"/>
      <c r="N56" s="216"/>
    </row>
    <row r="57" spans="1:14" ht="36" customHeight="1" x14ac:dyDescent="0.25">
      <c r="A57" s="401" t="s">
        <v>241</v>
      </c>
      <c r="B57" s="402"/>
      <c r="C57" s="402"/>
      <c r="D57" s="402"/>
      <c r="E57" s="403"/>
      <c r="F57" s="362">
        <v>39645</v>
      </c>
      <c r="G57" s="362">
        <v>235940</v>
      </c>
      <c r="H57" s="362">
        <v>275585</v>
      </c>
      <c r="I57" s="154"/>
      <c r="J57" s="264"/>
      <c r="K57" s="264"/>
      <c r="L57" s="264"/>
      <c r="M57" s="350"/>
      <c r="N57" s="218"/>
    </row>
    <row r="58" spans="1:14" ht="204" x14ac:dyDescent="0.25">
      <c r="A58" s="193" t="s">
        <v>205</v>
      </c>
      <c r="B58" s="193" t="s">
        <v>206</v>
      </c>
      <c r="C58" s="404"/>
      <c r="D58" s="196" t="s">
        <v>207</v>
      </c>
      <c r="E58" s="193" t="s">
        <v>256</v>
      </c>
      <c r="F58" s="362"/>
      <c r="G58" s="362"/>
      <c r="H58" s="362" t="s">
        <v>208</v>
      </c>
      <c r="I58" s="155"/>
      <c r="J58" s="264"/>
      <c r="K58" s="264"/>
      <c r="L58" s="264"/>
      <c r="M58" s="350"/>
      <c r="N58" s="216"/>
    </row>
    <row r="59" spans="1:14" ht="38.25" x14ac:dyDescent="0.25">
      <c r="A59" s="195" t="s">
        <v>6</v>
      </c>
      <c r="B59" s="194" t="s">
        <v>66</v>
      </c>
      <c r="C59" s="405"/>
      <c r="D59" s="194" t="s">
        <v>65</v>
      </c>
      <c r="E59" s="226" t="s">
        <v>263</v>
      </c>
      <c r="F59" s="362"/>
      <c r="G59" s="362"/>
      <c r="H59" s="362" t="s">
        <v>208</v>
      </c>
      <c r="I59" s="155"/>
      <c r="J59" s="264"/>
      <c r="K59" s="264"/>
      <c r="L59" s="264"/>
      <c r="M59" s="350"/>
      <c r="N59" s="216"/>
    </row>
    <row r="60" spans="1:14" ht="267.75" x14ac:dyDescent="0.25">
      <c r="A60" s="341" t="s">
        <v>209</v>
      </c>
      <c r="B60" s="342" t="s">
        <v>210</v>
      </c>
      <c r="C60" s="405"/>
      <c r="D60" s="344" t="s">
        <v>211</v>
      </c>
      <c r="E60" s="388" t="s">
        <v>264</v>
      </c>
      <c r="F60" s="364"/>
      <c r="G60" s="364"/>
      <c r="H60" s="365" t="s">
        <v>208</v>
      </c>
      <c r="I60" s="155"/>
      <c r="J60" s="263"/>
      <c r="K60" s="263"/>
      <c r="L60" s="263"/>
      <c r="M60" s="350"/>
      <c r="N60" s="216"/>
    </row>
    <row r="61" spans="1:14" ht="63.75" x14ac:dyDescent="0.25">
      <c r="A61" s="246" t="s">
        <v>212</v>
      </c>
      <c r="B61" s="343"/>
      <c r="C61" s="406"/>
      <c r="D61" s="200"/>
      <c r="E61" s="389"/>
      <c r="F61" s="366"/>
      <c r="G61" s="367" t="s">
        <v>238</v>
      </c>
      <c r="H61" s="366"/>
      <c r="I61" s="215"/>
      <c r="J61" s="345"/>
      <c r="K61" s="345"/>
      <c r="L61" s="345"/>
      <c r="M61" s="350"/>
      <c r="N61" s="216"/>
    </row>
    <row r="62" spans="1:14" ht="127.5" x14ac:dyDescent="0.25">
      <c r="A62" s="193" t="s">
        <v>25</v>
      </c>
      <c r="B62" s="193" t="s">
        <v>67</v>
      </c>
      <c r="C62" s="204"/>
      <c r="D62" s="196" t="s">
        <v>68</v>
      </c>
      <c r="E62" s="199" t="s">
        <v>265</v>
      </c>
      <c r="F62" s="362"/>
      <c r="G62" s="362"/>
      <c r="H62" s="362" t="s">
        <v>208</v>
      </c>
      <c r="I62" s="155"/>
      <c r="J62" s="264"/>
      <c r="K62" s="264"/>
      <c r="L62" s="264"/>
      <c r="M62" s="350"/>
      <c r="N62" s="216"/>
    </row>
    <row r="63" spans="1:14" ht="42" customHeight="1" x14ac:dyDescent="0.25">
      <c r="A63" s="401" t="s">
        <v>242</v>
      </c>
      <c r="B63" s="402"/>
      <c r="C63" s="402"/>
      <c r="D63" s="402"/>
      <c r="E63" s="403"/>
      <c r="F63" s="362">
        <v>64265</v>
      </c>
      <c r="G63" s="362">
        <v>357674</v>
      </c>
      <c r="H63" s="362">
        <v>421939</v>
      </c>
      <c r="I63" s="154"/>
      <c r="J63" s="264"/>
      <c r="K63" s="264"/>
      <c r="L63" s="264"/>
      <c r="M63" s="350"/>
      <c r="N63" s="216"/>
    </row>
    <row r="64" spans="1:14" ht="386.45" customHeight="1" x14ac:dyDescent="0.25">
      <c r="A64" s="195" t="s">
        <v>213</v>
      </c>
      <c r="B64" s="195" t="s">
        <v>252</v>
      </c>
      <c r="C64" s="205"/>
      <c r="D64" s="201" t="s">
        <v>69</v>
      </c>
      <c r="E64" s="193" t="s">
        <v>257</v>
      </c>
      <c r="F64" s="362"/>
      <c r="G64" s="362" t="s">
        <v>239</v>
      </c>
      <c r="H64" s="362" t="s">
        <v>214</v>
      </c>
      <c r="I64" s="155"/>
      <c r="J64" s="264"/>
      <c r="K64" s="264"/>
      <c r="L64" s="264"/>
      <c r="M64" s="350"/>
      <c r="N64" s="216"/>
    </row>
    <row r="65" spans="1:15" ht="102" x14ac:dyDescent="0.25">
      <c r="A65" s="193" t="s">
        <v>26</v>
      </c>
      <c r="B65" s="198" t="s">
        <v>71</v>
      </c>
      <c r="C65" s="198"/>
      <c r="D65" s="193" t="s">
        <v>70</v>
      </c>
      <c r="E65" s="199"/>
      <c r="F65" s="362"/>
      <c r="G65" s="373"/>
      <c r="H65" s="362" t="s">
        <v>214</v>
      </c>
      <c r="I65" s="155"/>
      <c r="J65" s="264"/>
      <c r="K65" s="264"/>
      <c r="L65" s="264"/>
      <c r="M65" s="350"/>
      <c r="N65" s="216"/>
    </row>
    <row r="66" spans="1:15" ht="32.25" customHeight="1" x14ac:dyDescent="0.25">
      <c r="A66" s="401" t="s">
        <v>243</v>
      </c>
      <c r="B66" s="402"/>
      <c r="C66" s="402"/>
      <c r="D66" s="402"/>
      <c r="E66" s="403"/>
      <c r="F66" s="362">
        <v>0</v>
      </c>
      <c r="G66" s="362">
        <v>45000</v>
      </c>
      <c r="H66" s="362">
        <v>45000</v>
      </c>
      <c r="I66" s="154"/>
      <c r="J66" s="264"/>
      <c r="K66" s="264"/>
      <c r="L66" s="264"/>
      <c r="M66" s="350"/>
      <c r="N66" s="216"/>
    </row>
    <row r="67" spans="1:15" ht="102" x14ac:dyDescent="0.25">
      <c r="A67" s="198" t="s">
        <v>215</v>
      </c>
      <c r="B67" s="202" t="s">
        <v>72</v>
      </c>
      <c r="C67" s="404"/>
      <c r="D67" s="193" t="s">
        <v>73</v>
      </c>
      <c r="E67" s="390"/>
      <c r="F67" s="362"/>
      <c r="G67" s="362"/>
      <c r="H67" s="362" t="s">
        <v>216</v>
      </c>
      <c r="I67" s="154"/>
      <c r="J67" s="264"/>
      <c r="K67" s="264"/>
      <c r="L67" s="264"/>
      <c r="M67" s="350"/>
      <c r="N67" s="216"/>
    </row>
    <row r="68" spans="1:15" ht="63.75" x14ac:dyDescent="0.25">
      <c r="A68" s="203" t="s">
        <v>7</v>
      </c>
      <c r="B68" s="208" t="s">
        <v>74</v>
      </c>
      <c r="C68" s="406"/>
      <c r="D68" s="203" t="s">
        <v>75</v>
      </c>
      <c r="E68" s="391"/>
      <c r="F68" s="365"/>
      <c r="G68" s="365"/>
      <c r="H68" s="362" t="s">
        <v>216</v>
      </c>
      <c r="I68" s="154"/>
      <c r="J68" s="264"/>
      <c r="K68" s="264"/>
      <c r="L68" s="264"/>
      <c r="M68" s="350"/>
      <c r="N68" s="216"/>
    </row>
    <row r="69" spans="1:15" s="191" customFormat="1" ht="33.75" customHeight="1" x14ac:dyDescent="0.25">
      <c r="A69" s="410" t="s">
        <v>76</v>
      </c>
      <c r="B69" s="411"/>
      <c r="C69" s="411"/>
      <c r="D69" s="411"/>
      <c r="E69" s="412"/>
      <c r="F69" s="375">
        <f>SUM(F70:F73)</f>
        <v>0</v>
      </c>
      <c r="G69" s="375">
        <f>SUM(G70:G73)</f>
        <v>52229.22</v>
      </c>
      <c r="H69" s="375">
        <f>F69+G69</f>
        <v>52229.22</v>
      </c>
      <c r="I69" s="154"/>
      <c r="J69" s="264"/>
      <c r="K69" s="264"/>
      <c r="L69" s="264"/>
      <c r="M69" s="350"/>
      <c r="N69" s="216"/>
    </row>
    <row r="70" spans="1:15" s="191" customFormat="1" ht="38.25" x14ac:dyDescent="0.25">
      <c r="A70" s="213" t="s">
        <v>16</v>
      </c>
      <c r="B70" s="213" t="s">
        <v>217</v>
      </c>
      <c r="C70" s="395" t="s">
        <v>275</v>
      </c>
      <c r="D70" s="213" t="s">
        <v>14</v>
      </c>
      <c r="E70" s="451" t="s">
        <v>266</v>
      </c>
      <c r="F70" s="362">
        <v>0</v>
      </c>
      <c r="G70" s="362">
        <f>PNUD!AP49+12000</f>
        <v>16000</v>
      </c>
      <c r="H70" s="362">
        <f>G70+F70</f>
        <v>16000</v>
      </c>
      <c r="I70" s="154"/>
      <c r="J70" s="264">
        <v>4000</v>
      </c>
      <c r="K70" s="264">
        <v>12000</v>
      </c>
      <c r="L70" s="264" t="s">
        <v>90</v>
      </c>
      <c r="M70" s="350"/>
      <c r="N70" s="216"/>
    </row>
    <row r="71" spans="1:15" s="191" customFormat="1" ht="89.25" x14ac:dyDescent="0.25">
      <c r="A71" s="211" t="s">
        <v>218</v>
      </c>
      <c r="B71" s="211" t="s">
        <v>219</v>
      </c>
      <c r="C71" s="396"/>
      <c r="D71" s="211" t="s">
        <v>12</v>
      </c>
      <c r="E71" s="452"/>
      <c r="F71" s="362">
        <v>0</v>
      </c>
      <c r="G71" s="362">
        <f>PNUD!AP50+10000</f>
        <v>15200</v>
      </c>
      <c r="H71" s="362">
        <f t="shared" ref="H71:H73" si="3">G71+F71</f>
        <v>15200</v>
      </c>
      <c r="I71" s="154"/>
      <c r="J71" s="264">
        <v>5200</v>
      </c>
      <c r="K71" s="264">
        <v>10000</v>
      </c>
      <c r="L71" s="264" t="s">
        <v>90</v>
      </c>
      <c r="M71" s="350"/>
      <c r="N71" s="221"/>
    </row>
    <row r="72" spans="1:15" s="191" customFormat="1" ht="89.25" x14ac:dyDescent="0.25">
      <c r="A72" s="211" t="s">
        <v>220</v>
      </c>
      <c r="B72" s="211" t="s">
        <v>219</v>
      </c>
      <c r="C72" s="396"/>
      <c r="D72" s="213" t="s">
        <v>12</v>
      </c>
      <c r="E72" s="452"/>
      <c r="F72" s="362">
        <v>0</v>
      </c>
      <c r="G72" s="362">
        <v>10000</v>
      </c>
      <c r="H72" s="362">
        <f t="shared" si="3"/>
        <v>10000</v>
      </c>
      <c r="I72" s="154" t="s">
        <v>90</v>
      </c>
      <c r="J72" s="264"/>
      <c r="K72" s="264">
        <v>10000</v>
      </c>
      <c r="L72" s="264"/>
      <c r="M72" s="350"/>
      <c r="N72" s="221"/>
    </row>
    <row r="73" spans="1:15" s="191" customFormat="1" ht="51" x14ac:dyDescent="0.25">
      <c r="A73" s="210" t="s">
        <v>221</v>
      </c>
      <c r="B73" s="210" t="s">
        <v>28</v>
      </c>
      <c r="C73" s="397"/>
      <c r="D73" s="210" t="s">
        <v>13</v>
      </c>
      <c r="E73" s="453"/>
      <c r="F73" s="362">
        <v>0</v>
      </c>
      <c r="G73" s="362">
        <f>PNUD!AP52+10000</f>
        <v>11029.22</v>
      </c>
      <c r="H73" s="362">
        <f t="shared" si="3"/>
        <v>11029.22</v>
      </c>
      <c r="I73" s="154"/>
      <c r="J73" s="264">
        <v>1029</v>
      </c>
      <c r="K73" s="264">
        <v>10000</v>
      </c>
      <c r="L73" s="264"/>
      <c r="M73" s="350"/>
      <c r="N73" s="216"/>
    </row>
    <row r="74" spans="1:15" s="191" customFormat="1" ht="13.9" customHeight="1" x14ac:dyDescent="0.25">
      <c r="A74" s="448" t="s">
        <v>225</v>
      </c>
      <c r="B74" s="449"/>
      <c r="C74" s="449"/>
      <c r="D74" s="449"/>
      <c r="E74" s="450"/>
      <c r="F74" s="382">
        <f>F51+F45+F32+F5</f>
        <v>172140</v>
      </c>
      <c r="G74" s="382">
        <f>G51+G45+G32+G5</f>
        <v>1994272.22</v>
      </c>
      <c r="H74" s="382">
        <f>G74+F74</f>
        <v>2166412.2199999997</v>
      </c>
      <c r="I74" s="154"/>
      <c r="J74" s="338">
        <f>SUM(J5:J73)</f>
        <v>1084514</v>
      </c>
      <c r="K74" s="338">
        <f>SUM(K5:K73)</f>
        <v>196374</v>
      </c>
      <c r="L74" s="338">
        <f>SUM(L5:L73)</f>
        <v>885524</v>
      </c>
      <c r="M74" s="155"/>
      <c r="N74" s="216"/>
      <c r="O74" s="218"/>
    </row>
    <row r="75" spans="1:15" ht="30.6" customHeight="1" x14ac:dyDescent="0.25">
      <c r="A75" s="260" t="s">
        <v>251</v>
      </c>
      <c r="B75" s="118"/>
      <c r="C75" s="259"/>
      <c r="D75" s="118"/>
      <c r="E75" s="118"/>
      <c r="F75" s="382">
        <f>F74*0.07+11201</f>
        <v>23250.800000000003</v>
      </c>
      <c r="G75" s="382">
        <f>G74*0.07+1180</f>
        <v>140779.05540000001</v>
      </c>
      <c r="H75" s="382">
        <f>F75+G75</f>
        <v>164029.8554</v>
      </c>
      <c r="I75" s="225"/>
      <c r="J75" s="339">
        <f>J74*0.07</f>
        <v>75915.98000000001</v>
      </c>
      <c r="K75" s="339">
        <f t="shared" ref="K75" si="4">K74*0.07</f>
        <v>13746.180000000002</v>
      </c>
      <c r="L75" s="339">
        <f>L74*0.07+(11201+1180)</f>
        <v>74367.680000000008</v>
      </c>
      <c r="M75" s="351"/>
      <c r="N75" s="219" t="s">
        <v>222</v>
      </c>
    </row>
    <row r="76" spans="1:15" ht="28.9" customHeight="1" x14ac:dyDescent="0.25">
      <c r="A76" s="260" t="s">
        <v>117</v>
      </c>
      <c r="B76" s="118"/>
      <c r="C76" s="259"/>
      <c r="D76" s="118"/>
      <c r="E76" s="118"/>
      <c r="F76" s="382">
        <f>F75+F74</f>
        <v>195390.8</v>
      </c>
      <c r="G76" s="382">
        <f>G75+G74</f>
        <v>2135051.2754000002</v>
      </c>
      <c r="H76" s="383">
        <f>H75+H74</f>
        <v>2330442.0753999995</v>
      </c>
      <c r="J76" s="337">
        <f>J75+J74</f>
        <v>1160429.98</v>
      </c>
      <c r="K76" s="337">
        <f t="shared" ref="K76:L76" si="5">K75+K74</f>
        <v>210120.18</v>
      </c>
      <c r="L76" s="337">
        <f t="shared" si="5"/>
        <v>959891.68</v>
      </c>
      <c r="M76" s="351"/>
      <c r="N76" s="216"/>
    </row>
    <row r="77" spans="1:15" x14ac:dyDescent="0.25">
      <c r="G77" s="370"/>
      <c r="H77" s="352"/>
      <c r="I77" s="212"/>
      <c r="J77" s="340"/>
      <c r="K77" s="340"/>
      <c r="L77" s="340"/>
      <c r="M77" s="352"/>
    </row>
    <row r="79" spans="1:15" x14ac:dyDescent="0.25">
      <c r="A79" s="240" t="s">
        <v>223</v>
      </c>
      <c r="B79" s="241"/>
      <c r="C79" s="255"/>
      <c r="D79" s="241"/>
    </row>
    <row r="80" spans="1:15" x14ac:dyDescent="0.25">
      <c r="A80" s="242" t="s">
        <v>247</v>
      </c>
      <c r="B80" s="243"/>
      <c r="C80" s="239"/>
      <c r="D80" s="243"/>
    </row>
    <row r="81" spans="1:13" x14ac:dyDescent="0.25">
      <c r="A81" s="346" t="s">
        <v>248</v>
      </c>
      <c r="B81" s="346"/>
      <c r="C81" s="346"/>
      <c r="D81" s="346"/>
    </row>
    <row r="82" spans="1:13" s="323" customFormat="1" x14ac:dyDescent="0.25">
      <c r="A82" s="254" t="s">
        <v>249</v>
      </c>
      <c r="B82" s="346"/>
      <c r="C82" s="346"/>
      <c r="D82" s="346"/>
      <c r="F82" s="349"/>
      <c r="G82" s="349"/>
      <c r="H82" s="349"/>
      <c r="J82" s="336"/>
      <c r="K82" s="336"/>
      <c r="L82" s="336"/>
      <c r="M82" s="349"/>
    </row>
    <row r="83" spans="1:13" x14ac:dyDescent="0.25">
      <c r="A83" s="238" t="s">
        <v>253</v>
      </c>
      <c r="B83" s="253"/>
      <c r="C83" s="256"/>
      <c r="D83" s="253"/>
    </row>
    <row r="84" spans="1:13" x14ac:dyDescent="0.25">
      <c r="A84" s="244" t="s">
        <v>250</v>
      </c>
      <c r="B84" s="238"/>
      <c r="C84" s="257"/>
      <c r="D84" s="238"/>
    </row>
    <row r="85" spans="1:13" x14ac:dyDescent="0.25">
      <c r="B85" s="238"/>
      <c r="C85" s="257"/>
      <c r="D85" s="238"/>
    </row>
  </sheetData>
  <mergeCells count="54">
    <mergeCell ref="A20:E20"/>
    <mergeCell ref="C21:C23"/>
    <mergeCell ref="A74:E74"/>
    <mergeCell ref="A69:E69"/>
    <mergeCell ref="C70:C73"/>
    <mergeCell ref="E70:E73"/>
    <mergeCell ref="C30:C31"/>
    <mergeCell ref="C34:C37"/>
    <mergeCell ref="A42:E42"/>
    <mergeCell ref="C43:C44"/>
    <mergeCell ref="E43:E44"/>
    <mergeCell ref="C47:C50"/>
    <mergeCell ref="C25:C28"/>
    <mergeCell ref="E25:E27"/>
    <mergeCell ref="C67:C68"/>
    <mergeCell ref="H3:H4"/>
    <mergeCell ref="B10:B15"/>
    <mergeCell ref="C10:C19"/>
    <mergeCell ref="D10:D19"/>
    <mergeCell ref="E10:E19"/>
    <mergeCell ref="A6:E6"/>
    <mergeCell ref="A8:E8"/>
    <mergeCell ref="A1:F1"/>
    <mergeCell ref="A45:E45"/>
    <mergeCell ref="A24:E24"/>
    <mergeCell ref="A32:E32"/>
    <mergeCell ref="F3:G3"/>
    <mergeCell ref="A33:E33"/>
    <mergeCell ref="A38:E38"/>
    <mergeCell ref="E3:E4"/>
    <mergeCell ref="D3:D4"/>
    <mergeCell ref="B3:B4"/>
    <mergeCell ref="A29:E29"/>
    <mergeCell ref="E21:E23"/>
    <mergeCell ref="A3:A4"/>
    <mergeCell ref="A5:E5"/>
    <mergeCell ref="A2:F2"/>
    <mergeCell ref="C39:C41"/>
    <mergeCell ref="J2:L2"/>
    <mergeCell ref="E34:E37"/>
    <mergeCell ref="E60:E61"/>
    <mergeCell ref="E67:E68"/>
    <mergeCell ref="E39:E41"/>
    <mergeCell ref="E47:E50"/>
    <mergeCell ref="E53:E56"/>
    <mergeCell ref="A46:E46"/>
    <mergeCell ref="A63:E63"/>
    <mergeCell ref="A66:E66"/>
    <mergeCell ref="C58:C61"/>
    <mergeCell ref="A51:E51"/>
    <mergeCell ref="A52:E52"/>
    <mergeCell ref="C53:C56"/>
    <mergeCell ref="A57:E57"/>
    <mergeCell ref="C3:C4"/>
  </mergeCells>
  <pageMargins left="0.7" right="0.7" top="0.75" bottom="0.75" header="0.3" footer="0.3"/>
  <pageSetup scale="38" fitToHeight="0" orientation="landscape" r:id="rId1"/>
  <ignoredErrors>
    <ignoredError sqref="H24 H29 H4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9"/>
  <sheetViews>
    <sheetView zoomScale="90" zoomScaleNormal="90" workbookViewId="0">
      <selection activeCell="A49" sqref="A49:A50"/>
    </sheetView>
  </sheetViews>
  <sheetFormatPr defaultColWidth="11.42578125" defaultRowHeight="12.75" x14ac:dyDescent="0.25"/>
  <cols>
    <col min="1" max="1" width="75.85546875" style="31" customWidth="1"/>
    <col min="2" max="2" width="20.42578125" style="36" customWidth="1"/>
    <col min="3" max="3" width="20.85546875" style="36" customWidth="1"/>
    <col min="4" max="4" width="12.42578125" style="31" customWidth="1"/>
    <col min="5" max="16384" width="11.42578125" style="31"/>
  </cols>
  <sheetData>
    <row r="2" spans="1:4" x14ac:dyDescent="0.25">
      <c r="A2" s="462" t="s">
        <v>0</v>
      </c>
      <c r="B2" s="463"/>
      <c r="C2" s="464"/>
      <c r="D2" s="465"/>
    </row>
    <row r="3" spans="1:4" ht="13.5" thickBot="1" x14ac:dyDescent="0.3">
      <c r="A3" s="466" t="s">
        <v>77</v>
      </c>
      <c r="B3" s="467"/>
      <c r="C3" s="468"/>
      <c r="D3" s="469"/>
    </row>
    <row r="4" spans="1:4" x14ac:dyDescent="0.25">
      <c r="A4" s="460" t="s">
        <v>34</v>
      </c>
      <c r="B4" s="470" t="s">
        <v>4</v>
      </c>
      <c r="C4" s="471"/>
      <c r="D4" s="472"/>
    </row>
    <row r="5" spans="1:4" ht="13.5" thickBot="1" x14ac:dyDescent="0.3">
      <c r="A5" s="461"/>
      <c r="B5" s="30">
        <v>2013</v>
      </c>
      <c r="C5" s="348" t="s">
        <v>273</v>
      </c>
      <c r="D5" s="32" t="s">
        <v>20</v>
      </c>
    </row>
    <row r="6" spans="1:4" ht="36.75" customHeight="1" x14ac:dyDescent="0.25">
      <c r="A6" s="12" t="s">
        <v>176</v>
      </c>
      <c r="B6" s="33">
        <f>B7+B9+B21+B25+B30</f>
        <v>68230</v>
      </c>
      <c r="C6" s="33">
        <f>C7+C9+C21+C25+C30</f>
        <v>1157429</v>
      </c>
      <c r="D6" s="33">
        <f>B6+C6</f>
        <v>1225659</v>
      </c>
    </row>
    <row r="7" spans="1:4" ht="36.75" customHeight="1" x14ac:dyDescent="0.25">
      <c r="A7" s="13" t="s">
        <v>151</v>
      </c>
      <c r="B7" s="34">
        <f>SUM(B8)</f>
        <v>49480</v>
      </c>
      <c r="C7" s="34">
        <f>SUM(C8)</f>
        <v>0</v>
      </c>
      <c r="D7" s="34">
        <f>SUM(D8)</f>
        <v>49480</v>
      </c>
    </row>
    <row r="8" spans="1:4" ht="55.9" customHeight="1" x14ac:dyDescent="0.25">
      <c r="A8" s="14" t="s">
        <v>227</v>
      </c>
      <c r="B8" s="22">
        <f>SUM('AWP '!F6:F10)</f>
        <v>49480</v>
      </c>
      <c r="C8" s="22">
        <f>SUM('AWP '!J6:J10)</f>
        <v>0</v>
      </c>
      <c r="D8" s="17">
        <f>SUM(B8:C8)</f>
        <v>49480</v>
      </c>
    </row>
    <row r="9" spans="1:4" ht="28.5" customHeight="1" x14ac:dyDescent="0.25">
      <c r="A9" s="15" t="s">
        <v>152</v>
      </c>
      <c r="B9" s="34">
        <f>SUM(B10:B20)</f>
        <v>0</v>
      </c>
      <c r="C9" s="34">
        <f>SUM(C10:C20)</f>
        <v>642539</v>
      </c>
      <c r="D9" s="34">
        <f>SUM(D10:D20)</f>
        <v>642539</v>
      </c>
    </row>
    <row r="10" spans="1:4" ht="34.15" customHeight="1" x14ac:dyDescent="0.25">
      <c r="A10" s="14" t="s">
        <v>228</v>
      </c>
      <c r="B10" s="23">
        <v>0</v>
      </c>
      <c r="C10" s="23">
        <v>0</v>
      </c>
      <c r="D10" s="17">
        <v>0</v>
      </c>
    </row>
    <row r="11" spans="1:4" ht="23.65" customHeight="1" x14ac:dyDescent="0.25">
      <c r="A11" s="249" t="s">
        <v>282</v>
      </c>
      <c r="B11" s="17">
        <f>PNUD!V11</f>
        <v>0</v>
      </c>
      <c r="C11" s="23">
        <f>PNUD!AP10+PNUD!AP11+50000</f>
        <v>348740</v>
      </c>
      <c r="D11" s="17">
        <f t="shared" ref="D11:D20" si="0">SUM(B11:C11)</f>
        <v>348740</v>
      </c>
    </row>
    <row r="12" spans="1:4" ht="23.65" customHeight="1" x14ac:dyDescent="0.25">
      <c r="A12" s="224" t="s">
        <v>283</v>
      </c>
      <c r="B12" s="17">
        <f>PNUD!V12</f>
        <v>0</v>
      </c>
      <c r="C12" s="23">
        <f>PNUD!AP12</f>
        <v>40125</v>
      </c>
      <c r="D12" s="17">
        <f t="shared" si="0"/>
        <v>40125</v>
      </c>
    </row>
    <row r="13" spans="1:4" ht="23.65" customHeight="1" x14ac:dyDescent="0.25">
      <c r="A13" s="224" t="s">
        <v>284</v>
      </c>
      <c r="B13" s="17">
        <f>PNUD!V13</f>
        <v>0</v>
      </c>
      <c r="C13" s="23">
        <f>PNUD!AP13</f>
        <v>48150</v>
      </c>
      <c r="D13" s="17">
        <f t="shared" si="0"/>
        <v>48150</v>
      </c>
    </row>
    <row r="14" spans="1:4" ht="23.65" customHeight="1" x14ac:dyDescent="0.25">
      <c r="A14" s="224" t="s">
        <v>281</v>
      </c>
      <c r="B14" s="17">
        <f>PNUD!V14</f>
        <v>0</v>
      </c>
      <c r="C14" s="23">
        <f>PNUD!AP14</f>
        <v>9000</v>
      </c>
      <c r="D14" s="17">
        <f t="shared" si="0"/>
        <v>9000</v>
      </c>
    </row>
    <row r="15" spans="1:4" ht="58.15" customHeight="1" x14ac:dyDescent="0.25">
      <c r="A15" s="248" t="s">
        <v>143</v>
      </c>
      <c r="B15" s="17">
        <f>PNUD!V15</f>
        <v>0</v>
      </c>
      <c r="C15" s="23">
        <f>PNUD!AP15</f>
        <v>98100</v>
      </c>
      <c r="D15" s="17">
        <f t="shared" si="0"/>
        <v>98100</v>
      </c>
    </row>
    <row r="16" spans="1:4" ht="32.65" customHeight="1" x14ac:dyDescent="0.25">
      <c r="A16" s="249" t="s">
        <v>144</v>
      </c>
      <c r="B16" s="17">
        <f>PNUD!V16</f>
        <v>0</v>
      </c>
      <c r="C16" s="23">
        <f>PNUD!AP16</f>
        <v>20000</v>
      </c>
      <c r="D16" s="17">
        <f t="shared" si="0"/>
        <v>20000</v>
      </c>
    </row>
    <row r="17" spans="1:4" ht="24.2" customHeight="1" x14ac:dyDescent="0.25">
      <c r="A17" s="226" t="s">
        <v>145</v>
      </c>
      <c r="B17" s="23">
        <f>PNUD!V17</f>
        <v>0</v>
      </c>
      <c r="C17" s="23">
        <f>'Marco de Resultados'!H16</f>
        <v>18374</v>
      </c>
      <c r="D17" s="17">
        <f t="shared" si="0"/>
        <v>18374</v>
      </c>
    </row>
    <row r="18" spans="1:4" x14ac:dyDescent="0.25">
      <c r="A18" s="226" t="s">
        <v>149</v>
      </c>
      <c r="B18" s="23">
        <f>PNUD!V18</f>
        <v>0</v>
      </c>
      <c r="C18" s="23">
        <f>'Marco de Resultados'!H17</f>
        <v>30250</v>
      </c>
      <c r="D18" s="17">
        <f t="shared" si="0"/>
        <v>30250</v>
      </c>
    </row>
    <row r="19" spans="1:4" ht="46.5" customHeight="1" x14ac:dyDescent="0.25">
      <c r="A19" s="224" t="s">
        <v>147</v>
      </c>
      <c r="B19" s="23">
        <f>PNUD!V19</f>
        <v>0</v>
      </c>
      <c r="C19" s="23">
        <f>PNUD!AP19</f>
        <v>17800</v>
      </c>
      <c r="D19" s="17">
        <f t="shared" si="0"/>
        <v>17800</v>
      </c>
    </row>
    <row r="20" spans="1:4" ht="43.5" customHeight="1" x14ac:dyDescent="0.25">
      <c r="A20" s="224" t="s">
        <v>148</v>
      </c>
      <c r="B20" s="23">
        <f>PNUD!V20</f>
        <v>0</v>
      </c>
      <c r="C20" s="23">
        <f>PNUD!AP20</f>
        <v>12000</v>
      </c>
      <c r="D20" s="17">
        <f t="shared" si="0"/>
        <v>12000</v>
      </c>
    </row>
    <row r="21" spans="1:4" ht="28.35" customHeight="1" x14ac:dyDescent="0.25">
      <c r="A21" s="16" t="s">
        <v>153</v>
      </c>
      <c r="B21" s="34">
        <f>SUM(B22:B24)</f>
        <v>0</v>
      </c>
      <c r="C21" s="34">
        <f>SUM(C22:C24)</f>
        <v>25500</v>
      </c>
      <c r="D21" s="34">
        <f>SUM(D22:D24)</f>
        <v>25500</v>
      </c>
    </row>
    <row r="22" spans="1:4" ht="32.25" customHeight="1" x14ac:dyDescent="0.25">
      <c r="A22" s="250" t="s">
        <v>35</v>
      </c>
      <c r="B22" s="23">
        <f>PNUD!V22</f>
        <v>0</v>
      </c>
      <c r="C22" s="23">
        <f>PNUD!AP22</f>
        <v>10500</v>
      </c>
      <c r="D22" s="17">
        <f>SUM(B22:C22)</f>
        <v>10500</v>
      </c>
    </row>
    <row r="23" spans="1:4" ht="39.6" customHeight="1" x14ac:dyDescent="0.25">
      <c r="A23" s="231" t="s">
        <v>157</v>
      </c>
      <c r="B23" s="23">
        <f>PNUD!V23</f>
        <v>0</v>
      </c>
      <c r="C23" s="23">
        <f>PNUD!AP23</f>
        <v>10000</v>
      </c>
      <c r="D23" s="327">
        <f>SUM(B23:C23)</f>
        <v>10000</v>
      </c>
    </row>
    <row r="24" spans="1:4" ht="30.6" customHeight="1" x14ac:dyDescent="0.25">
      <c r="A24" s="228" t="s">
        <v>19</v>
      </c>
      <c r="B24" s="23">
        <f>PNUD!V24</f>
        <v>0</v>
      </c>
      <c r="C24" s="23">
        <f>PNUD!AP24</f>
        <v>5000</v>
      </c>
      <c r="D24" s="17">
        <f>SUM(B24:C24)</f>
        <v>5000</v>
      </c>
    </row>
    <row r="25" spans="1:4" ht="30.75" customHeight="1" x14ac:dyDescent="0.25">
      <c r="A25" s="13" t="s">
        <v>173</v>
      </c>
      <c r="B25" s="34">
        <f>SUM(B26:B29)</f>
        <v>0</v>
      </c>
      <c r="C25" s="34">
        <f>SUM(C26:C29)</f>
        <v>78050</v>
      </c>
      <c r="D25" s="34">
        <f>SUM(D26:D29)</f>
        <v>78050</v>
      </c>
    </row>
    <row r="26" spans="1:4" ht="40.35" customHeight="1" x14ac:dyDescent="0.25">
      <c r="A26" s="229" t="s">
        <v>160</v>
      </c>
      <c r="B26" s="24">
        <f>PNUD!V26</f>
        <v>0</v>
      </c>
      <c r="C26" s="24">
        <f>PNUD!AP26</f>
        <v>5000</v>
      </c>
      <c r="D26" s="17">
        <f>SUM(B26:C26)</f>
        <v>5000</v>
      </c>
    </row>
    <row r="27" spans="1:4" ht="56.45" customHeight="1" x14ac:dyDescent="0.25">
      <c r="A27" s="230" t="s">
        <v>38</v>
      </c>
      <c r="B27" s="24">
        <f>PNUD!V27</f>
        <v>0</v>
      </c>
      <c r="C27" s="24">
        <f>PNUD!AP27</f>
        <v>27800</v>
      </c>
      <c r="D27" s="17">
        <f t="shared" ref="D27:D29" si="1">SUM(B27:C27)</f>
        <v>27800</v>
      </c>
    </row>
    <row r="28" spans="1:4" ht="56.45" customHeight="1" x14ac:dyDescent="0.25">
      <c r="A28" s="231" t="s">
        <v>166</v>
      </c>
      <c r="B28" s="24">
        <f>PNUD!V28</f>
        <v>0</v>
      </c>
      <c r="C28" s="24">
        <f>'Marco de Resultados'!G27</f>
        <v>18250</v>
      </c>
      <c r="D28" s="327">
        <f t="shared" si="1"/>
        <v>18250</v>
      </c>
    </row>
    <row r="29" spans="1:4" ht="47.85" customHeight="1" x14ac:dyDescent="0.25">
      <c r="A29" s="231" t="s">
        <v>169</v>
      </c>
      <c r="B29" s="23">
        <f>PNUD!V29</f>
        <v>0</v>
      </c>
      <c r="C29" s="23">
        <f>PNUD!AP29</f>
        <v>27000</v>
      </c>
      <c r="D29" s="17">
        <f t="shared" si="1"/>
        <v>27000</v>
      </c>
    </row>
    <row r="30" spans="1:4" ht="25.5" x14ac:dyDescent="0.25">
      <c r="A30" s="13" t="s">
        <v>174</v>
      </c>
      <c r="B30" s="34">
        <f>SUM(B31:B32)</f>
        <v>18750</v>
      </c>
      <c r="C30" s="34">
        <f>SUM(C31:C32)</f>
        <v>411340</v>
      </c>
      <c r="D30" s="34">
        <f>C30+B30</f>
        <v>430090</v>
      </c>
    </row>
    <row r="31" spans="1:4" ht="39.75" customHeight="1" x14ac:dyDescent="0.25">
      <c r="A31" s="232" t="s">
        <v>48</v>
      </c>
      <c r="B31" s="23">
        <f>PNUD!V30</f>
        <v>18750</v>
      </c>
      <c r="C31" s="23">
        <f>PNUD!AP30</f>
        <v>328340</v>
      </c>
      <c r="D31" s="17">
        <f>SUM(B31:C31)</f>
        <v>347090</v>
      </c>
    </row>
    <row r="32" spans="1:4" ht="39.75" customHeight="1" x14ac:dyDescent="0.25">
      <c r="A32" s="233" t="s">
        <v>172</v>
      </c>
      <c r="B32" s="23">
        <v>0</v>
      </c>
      <c r="C32" s="23">
        <f>25000+20000+25000+13000</f>
        <v>83000</v>
      </c>
      <c r="D32" s="327">
        <f>SUM(B32:C32)</f>
        <v>83000</v>
      </c>
    </row>
    <row r="33" spans="1:4" ht="29.25" customHeight="1" x14ac:dyDescent="0.25">
      <c r="A33" s="12" t="s">
        <v>175</v>
      </c>
      <c r="B33" s="35">
        <f>B34+B39+B43</f>
        <v>0</v>
      </c>
      <c r="C33" s="35">
        <f>C34+C39+C43</f>
        <v>92000</v>
      </c>
      <c r="D33" s="35">
        <f>C33+B33</f>
        <v>92000</v>
      </c>
    </row>
    <row r="34" spans="1:4" ht="29.1" customHeight="1" x14ac:dyDescent="0.25">
      <c r="A34" s="13" t="s">
        <v>50</v>
      </c>
      <c r="B34" s="34">
        <f>SUM(B35:B38)</f>
        <v>0</v>
      </c>
      <c r="C34" s="34">
        <f>SUM(C35:C38)</f>
        <v>12000</v>
      </c>
      <c r="D34" s="34">
        <f>SUM(D35:D38)</f>
        <v>12000</v>
      </c>
    </row>
    <row r="35" spans="1:4" ht="43.5" customHeight="1" x14ac:dyDescent="0.25">
      <c r="A35" s="251" t="s">
        <v>9</v>
      </c>
      <c r="B35" s="23">
        <v>0</v>
      </c>
      <c r="C35" s="27">
        <v>0</v>
      </c>
      <c r="D35" s="17">
        <f>SUM(B35:C35)</f>
        <v>0</v>
      </c>
    </row>
    <row r="36" spans="1:4" ht="29.1" customHeight="1" x14ac:dyDescent="0.25">
      <c r="A36" s="252" t="s">
        <v>178</v>
      </c>
      <c r="B36" s="23">
        <v>0</v>
      </c>
      <c r="C36" s="27">
        <v>12000</v>
      </c>
      <c r="D36" s="17">
        <f t="shared" ref="D36:D38" si="2">SUM(B36:C36)</f>
        <v>12000</v>
      </c>
    </row>
    <row r="37" spans="1:4" ht="29.1" customHeight="1" x14ac:dyDescent="0.25">
      <c r="A37" s="234" t="s">
        <v>180</v>
      </c>
      <c r="B37" s="23">
        <v>0</v>
      </c>
      <c r="C37" s="27">
        <v>0</v>
      </c>
      <c r="D37" s="17">
        <v>0</v>
      </c>
    </row>
    <row r="38" spans="1:4" ht="30.6" customHeight="1" x14ac:dyDescent="0.25">
      <c r="A38" s="234" t="s">
        <v>181</v>
      </c>
      <c r="B38" s="23">
        <v>0</v>
      </c>
      <c r="C38" s="27">
        <v>0</v>
      </c>
      <c r="D38" s="17">
        <f t="shared" si="2"/>
        <v>0</v>
      </c>
    </row>
    <row r="39" spans="1:4" ht="30" customHeight="1" x14ac:dyDescent="0.25">
      <c r="A39" s="13" t="s">
        <v>78</v>
      </c>
      <c r="B39" s="34">
        <f>SUM(B40:B42)</f>
        <v>0</v>
      </c>
      <c r="C39" s="34">
        <f>SUM(C40:C42)</f>
        <v>40000</v>
      </c>
      <c r="D39" s="34">
        <f>SUM(D40:D42)</f>
        <v>40000</v>
      </c>
    </row>
    <row r="40" spans="1:4" ht="33.4" customHeight="1" x14ac:dyDescent="0.25">
      <c r="A40" s="234" t="s">
        <v>5</v>
      </c>
      <c r="B40" s="23">
        <v>0</v>
      </c>
      <c r="C40" s="27">
        <v>0</v>
      </c>
      <c r="D40" s="17">
        <f>SUM(B40:C40)</f>
        <v>0</v>
      </c>
    </row>
    <row r="41" spans="1:4" ht="25.5" x14ac:dyDescent="0.25">
      <c r="A41" s="226" t="s">
        <v>183</v>
      </c>
      <c r="B41" s="23">
        <v>0</v>
      </c>
      <c r="C41" s="27">
        <v>30000</v>
      </c>
      <c r="D41" s="17">
        <f t="shared" ref="D41:D42" si="3">SUM(B41:C41)</f>
        <v>30000</v>
      </c>
    </row>
    <row r="42" spans="1:4" ht="41.65" customHeight="1" x14ac:dyDescent="0.25">
      <c r="A42" s="231" t="s">
        <v>185</v>
      </c>
      <c r="B42" s="23">
        <v>0</v>
      </c>
      <c r="C42" s="27">
        <v>10000</v>
      </c>
      <c r="D42" s="17">
        <f t="shared" si="3"/>
        <v>10000</v>
      </c>
    </row>
    <row r="43" spans="1:4" ht="30.6" customHeight="1" x14ac:dyDescent="0.25">
      <c r="A43" s="13" t="s">
        <v>187</v>
      </c>
      <c r="B43" s="34">
        <f>SUM(B44:B45)</f>
        <v>0</v>
      </c>
      <c r="C43" s="34">
        <f>SUM(C44:C45)</f>
        <v>40000</v>
      </c>
      <c r="D43" s="34">
        <f>SUM(D44:D45)</f>
        <v>40000</v>
      </c>
    </row>
    <row r="44" spans="1:4" ht="41.65" customHeight="1" x14ac:dyDescent="0.25">
      <c r="A44" s="224" t="s">
        <v>188</v>
      </c>
      <c r="B44" s="23">
        <v>0</v>
      </c>
      <c r="C44" s="27">
        <v>20000</v>
      </c>
      <c r="D44" s="17">
        <f>B44+C44</f>
        <v>20000</v>
      </c>
    </row>
    <row r="45" spans="1:4" ht="41.65" customHeight="1" x14ac:dyDescent="0.25">
      <c r="A45" s="224" t="s">
        <v>192</v>
      </c>
      <c r="B45" s="23">
        <v>0</v>
      </c>
      <c r="C45" s="27">
        <v>20000</v>
      </c>
      <c r="D45" s="327">
        <f>B45+C45</f>
        <v>20000</v>
      </c>
    </row>
    <row r="46" spans="1:4" ht="25.5" x14ac:dyDescent="0.25">
      <c r="A46" s="12" t="s">
        <v>289</v>
      </c>
      <c r="B46" s="35">
        <f>B47</f>
        <v>0</v>
      </c>
      <c r="C46" s="35">
        <f>C47</f>
        <v>54000</v>
      </c>
      <c r="D46" s="35">
        <f>D47</f>
        <v>54000</v>
      </c>
    </row>
    <row r="47" spans="1:4" ht="25.5" x14ac:dyDescent="0.25">
      <c r="A47" s="18" t="s">
        <v>195</v>
      </c>
      <c r="B47" s="34">
        <f>SUM(B48:B51)</f>
        <v>0</v>
      </c>
      <c r="C47" s="34">
        <f>SUM(C48:C51)</f>
        <v>54000</v>
      </c>
      <c r="D47" s="34">
        <f>SUM(D48:D51)</f>
        <v>54000</v>
      </c>
    </row>
    <row r="48" spans="1:4" ht="25.5" x14ac:dyDescent="0.25">
      <c r="A48" s="224" t="s">
        <v>56</v>
      </c>
      <c r="B48" s="23">
        <v>0</v>
      </c>
      <c r="C48" s="27">
        <v>23000</v>
      </c>
      <c r="D48" s="17">
        <f>SUM(B48:C48)</f>
        <v>23000</v>
      </c>
    </row>
    <row r="49" spans="1:4" ht="25.5" x14ac:dyDescent="0.25">
      <c r="A49" s="224" t="s">
        <v>197</v>
      </c>
      <c r="B49" s="23">
        <v>0</v>
      </c>
      <c r="C49" s="27">
        <v>10000</v>
      </c>
      <c r="D49" s="17">
        <f t="shared" ref="D49:D51" si="4">SUM(B49:C49)</f>
        <v>10000</v>
      </c>
    </row>
    <row r="50" spans="1:4" ht="25.5" x14ac:dyDescent="0.25">
      <c r="A50" s="224" t="s">
        <v>198</v>
      </c>
      <c r="B50" s="23">
        <v>0</v>
      </c>
      <c r="C50" s="27">
        <v>10000</v>
      </c>
      <c r="D50" s="327">
        <f t="shared" si="4"/>
        <v>10000</v>
      </c>
    </row>
    <row r="51" spans="1:4" ht="51" x14ac:dyDescent="0.25">
      <c r="A51" s="234" t="s">
        <v>57</v>
      </c>
      <c r="B51" s="23">
        <v>0</v>
      </c>
      <c r="C51" s="27">
        <v>11000</v>
      </c>
      <c r="D51" s="17">
        <f t="shared" si="4"/>
        <v>11000</v>
      </c>
    </row>
    <row r="52" spans="1:4" ht="38.25" x14ac:dyDescent="0.25">
      <c r="A52" s="19" t="s">
        <v>226</v>
      </c>
      <c r="B52" s="35">
        <f>B53+B70</f>
        <v>103910</v>
      </c>
      <c r="C52" s="35">
        <f>C53+C70</f>
        <v>690843.22</v>
      </c>
      <c r="D52" s="35">
        <f>D53+D70</f>
        <v>794753.22</v>
      </c>
    </row>
    <row r="53" spans="1:4" ht="25.5" x14ac:dyDescent="0.25">
      <c r="A53" s="13" t="s">
        <v>59</v>
      </c>
      <c r="B53" s="34">
        <f>SUM(B54:B69)</f>
        <v>103910</v>
      </c>
      <c r="C53" s="34">
        <f>SUM(C54:C69)</f>
        <v>638614</v>
      </c>
      <c r="D53" s="34">
        <f>SUM(D54:D69)</f>
        <v>742524</v>
      </c>
    </row>
    <row r="54" spans="1:4" ht="25.5" x14ac:dyDescent="0.25">
      <c r="A54" s="226" t="s">
        <v>10</v>
      </c>
      <c r="B54" s="23"/>
      <c r="C54" s="27"/>
      <c r="D54" s="17">
        <f>SUM(B54:C54)</f>
        <v>0</v>
      </c>
    </row>
    <row r="55" spans="1:4" ht="25.5" x14ac:dyDescent="0.25">
      <c r="A55" s="226" t="s">
        <v>23</v>
      </c>
      <c r="B55" s="23"/>
      <c r="C55" s="27"/>
      <c r="D55" s="17">
        <f t="shared" ref="D55:D67" si="5">SUM(B55:C55)</f>
        <v>0</v>
      </c>
    </row>
    <row r="56" spans="1:4" ht="38.25" x14ac:dyDescent="0.25">
      <c r="A56" s="226" t="s">
        <v>200</v>
      </c>
      <c r="B56" s="23"/>
      <c r="C56" s="27"/>
      <c r="D56" s="17">
        <f t="shared" si="5"/>
        <v>0</v>
      </c>
    </row>
    <row r="57" spans="1:4" ht="25.5" x14ac:dyDescent="0.25">
      <c r="A57" s="246" t="s">
        <v>24</v>
      </c>
      <c r="B57" s="23"/>
      <c r="C57" s="27"/>
      <c r="D57" s="17"/>
    </row>
    <row r="58" spans="1:4" x14ac:dyDescent="0.25">
      <c r="A58" s="20" t="s">
        <v>241</v>
      </c>
      <c r="B58" s="334">
        <v>39645</v>
      </c>
      <c r="C58" s="334">
        <v>235940</v>
      </c>
      <c r="D58" s="17">
        <f t="shared" si="5"/>
        <v>275585</v>
      </c>
    </row>
    <row r="59" spans="1:4" x14ac:dyDescent="0.25">
      <c r="A59" s="226" t="s">
        <v>205</v>
      </c>
      <c r="B59" s="23"/>
      <c r="C59" s="27"/>
      <c r="D59" s="17"/>
    </row>
    <row r="60" spans="1:4" ht="25.5" x14ac:dyDescent="0.25">
      <c r="A60" s="235" t="s">
        <v>6</v>
      </c>
      <c r="B60" s="23"/>
      <c r="C60" s="27"/>
      <c r="D60" s="17"/>
    </row>
    <row r="61" spans="1:4" ht="216.75" x14ac:dyDescent="0.25">
      <c r="A61" s="207" t="s">
        <v>209</v>
      </c>
      <c r="B61" s="23"/>
      <c r="C61" s="27"/>
      <c r="D61" s="17"/>
    </row>
    <row r="62" spans="1:4" ht="38.25" x14ac:dyDescent="0.25">
      <c r="A62" s="226" t="s">
        <v>212</v>
      </c>
      <c r="B62" s="24"/>
      <c r="C62" s="28"/>
      <c r="D62" s="17"/>
    </row>
    <row r="63" spans="1:4" ht="102" x14ac:dyDescent="0.25">
      <c r="A63" s="226" t="s">
        <v>25</v>
      </c>
      <c r="B63" s="23"/>
      <c r="C63" s="27"/>
      <c r="D63" s="17"/>
    </row>
    <row r="64" spans="1:4" x14ac:dyDescent="0.25">
      <c r="A64" s="20" t="s">
        <v>242</v>
      </c>
      <c r="B64" s="334">
        <v>64265</v>
      </c>
      <c r="C64" s="334">
        <v>357674</v>
      </c>
      <c r="D64" s="17">
        <f t="shared" si="5"/>
        <v>421939</v>
      </c>
    </row>
    <row r="65" spans="1:4" ht="25.5" x14ac:dyDescent="0.25">
      <c r="A65" s="235" t="s">
        <v>213</v>
      </c>
      <c r="B65" s="23"/>
      <c r="C65" s="27"/>
      <c r="D65" s="17"/>
    </row>
    <row r="66" spans="1:4" x14ac:dyDescent="0.25">
      <c r="A66" s="226" t="s">
        <v>26</v>
      </c>
      <c r="B66" s="23"/>
      <c r="C66" s="27"/>
      <c r="D66" s="17"/>
    </row>
    <row r="67" spans="1:4" ht="25.5" x14ac:dyDescent="0.25">
      <c r="A67" s="20" t="s">
        <v>243</v>
      </c>
      <c r="B67" s="334">
        <v>0</v>
      </c>
      <c r="C67" s="334">
        <v>45000</v>
      </c>
      <c r="D67" s="327">
        <f t="shared" si="5"/>
        <v>45000</v>
      </c>
    </row>
    <row r="68" spans="1:4" ht="89.25" x14ac:dyDescent="0.25">
      <c r="A68" s="236" t="s">
        <v>215</v>
      </c>
      <c r="B68" s="23"/>
      <c r="C68" s="27"/>
      <c r="D68" s="17"/>
    </row>
    <row r="69" spans="1:4" ht="38.25" x14ac:dyDescent="0.25">
      <c r="A69" s="245" t="s">
        <v>7</v>
      </c>
      <c r="B69" s="25"/>
      <c r="C69" s="29"/>
      <c r="D69" s="17"/>
    </row>
    <row r="70" spans="1:4" ht="25.5" x14ac:dyDescent="0.25">
      <c r="A70" s="13" t="s">
        <v>76</v>
      </c>
      <c r="B70" s="34">
        <f t="shared" ref="B70:C70" si="6">SUM(B71:B74)</f>
        <v>0</v>
      </c>
      <c r="C70" s="34">
        <f t="shared" si="6"/>
        <v>52229.22</v>
      </c>
      <c r="D70" s="34">
        <f>SUM(D71:D74)</f>
        <v>52229.22</v>
      </c>
    </row>
    <row r="71" spans="1:4" ht="25.5" x14ac:dyDescent="0.25">
      <c r="A71" s="245" t="s">
        <v>16</v>
      </c>
      <c r="B71" s="26">
        <f>PNUD!V49</f>
        <v>0</v>
      </c>
      <c r="C71" s="23">
        <f>'Marco de Resultados'!G70</f>
        <v>16000</v>
      </c>
      <c r="D71" s="17">
        <f>SUM(B71:C71)</f>
        <v>16000</v>
      </c>
    </row>
    <row r="72" spans="1:4" ht="38.25" x14ac:dyDescent="0.25">
      <c r="A72" s="237" t="s">
        <v>218</v>
      </c>
      <c r="B72" s="23">
        <f>PNUD!V50</f>
        <v>0</v>
      </c>
      <c r="C72" s="23">
        <f>'Marco de Resultados'!G71</f>
        <v>15200</v>
      </c>
      <c r="D72" s="17">
        <f t="shared" ref="D72:D74" si="7">SUM(B72:C72)</f>
        <v>15200</v>
      </c>
    </row>
    <row r="73" spans="1:4" ht="25.5" x14ac:dyDescent="0.25">
      <c r="A73" s="237" t="s">
        <v>220</v>
      </c>
      <c r="B73" s="25"/>
      <c r="C73" s="25">
        <f>'Marco de Resultados'!G72</f>
        <v>10000</v>
      </c>
      <c r="D73" s="327">
        <f t="shared" si="7"/>
        <v>10000</v>
      </c>
    </row>
    <row r="74" spans="1:4" ht="39" thickBot="1" x14ac:dyDescent="0.3">
      <c r="A74" s="226" t="s">
        <v>221</v>
      </c>
      <c r="B74" s="25">
        <f>PNUD!V52</f>
        <v>0</v>
      </c>
      <c r="C74" s="25">
        <f>'Marco de Resultados'!G73</f>
        <v>11029.22</v>
      </c>
      <c r="D74" s="133">
        <f t="shared" si="7"/>
        <v>11029.22</v>
      </c>
    </row>
    <row r="75" spans="1:4" ht="13.5" thickBot="1" x14ac:dyDescent="0.3">
      <c r="A75" s="132" t="s">
        <v>8</v>
      </c>
      <c r="B75" s="134">
        <f>B52+B46+B33+B6</f>
        <v>172140</v>
      </c>
      <c r="C75" s="134">
        <f>C52+C46+C33+C6</f>
        <v>1994272.22</v>
      </c>
      <c r="D75" s="135">
        <f>D52+D46+D33+D6</f>
        <v>2166412.2199999997</v>
      </c>
    </row>
    <row r="76" spans="1:4" ht="13.5" thickBot="1" x14ac:dyDescent="0.3">
      <c r="A76" s="136" t="s">
        <v>130</v>
      </c>
      <c r="B76" s="137">
        <f>B75*0.07+11201</f>
        <v>23250.800000000003</v>
      </c>
      <c r="C76" s="137">
        <f>C75*0.07+1180</f>
        <v>140779.05540000001</v>
      </c>
      <c r="D76" s="138">
        <f>B76+C76</f>
        <v>164029.8554</v>
      </c>
    </row>
    <row r="77" spans="1:4" ht="13.5" thickBot="1" x14ac:dyDescent="0.3">
      <c r="A77" s="139" t="s">
        <v>117</v>
      </c>
      <c r="B77" s="140">
        <f>B76+B75</f>
        <v>195390.8</v>
      </c>
      <c r="C77" s="140">
        <f>C76+C75</f>
        <v>2135051.2754000002</v>
      </c>
      <c r="D77" s="141">
        <f>D76+D75</f>
        <v>2330442.0753999995</v>
      </c>
    </row>
    <row r="79" spans="1:4" x14ac:dyDescent="0.25">
      <c r="A79" s="21" t="s">
        <v>15</v>
      </c>
    </row>
  </sheetData>
  <mergeCells count="4">
    <mergeCell ref="A4:A5"/>
    <mergeCell ref="A2:D2"/>
    <mergeCell ref="A3:D3"/>
    <mergeCell ref="B4:D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zoomScale="90" zoomScaleNormal="90" workbookViewId="0">
      <selection activeCell="A42" sqref="A42:A46"/>
    </sheetView>
  </sheetViews>
  <sheetFormatPr defaultColWidth="11.42578125" defaultRowHeight="15" x14ac:dyDescent="0.25"/>
  <cols>
    <col min="1" max="1" width="42.140625" customWidth="1"/>
    <col min="2" max="2" width="21.28515625" style="38" customWidth="1"/>
    <col min="3" max="4" width="11.42578125" style="38" customWidth="1"/>
    <col min="5" max="5" width="16.140625" style="38" customWidth="1"/>
    <col min="6" max="6" width="11.42578125" style="38"/>
    <col min="7" max="8" width="11.42578125" style="38" customWidth="1"/>
    <col min="9" max="16384" width="11.42578125" style="38"/>
  </cols>
  <sheetData>
    <row r="1" spans="1:11" ht="12.75" x14ac:dyDescent="0.2">
      <c r="A1" s="38"/>
    </row>
    <row r="2" spans="1:11" ht="13.5" thickBot="1" x14ac:dyDescent="0.25">
      <c r="A2" s="38"/>
    </row>
    <row r="3" spans="1:11" ht="12.75" customHeight="1" x14ac:dyDescent="0.2">
      <c r="A3" s="491" t="s">
        <v>96</v>
      </c>
      <c r="B3" s="493" t="s">
        <v>80</v>
      </c>
      <c r="C3" s="478" t="s">
        <v>79</v>
      </c>
      <c r="D3" s="479"/>
      <c r="E3" s="479"/>
      <c r="F3" s="480"/>
      <c r="G3" s="478" t="s">
        <v>92</v>
      </c>
      <c r="H3" s="479"/>
      <c r="I3" s="479"/>
      <c r="J3" s="480"/>
      <c r="K3" s="484" t="s">
        <v>94</v>
      </c>
    </row>
    <row r="4" spans="1:11" ht="13.7" customHeight="1" thickBot="1" x14ac:dyDescent="0.25">
      <c r="A4" s="492"/>
      <c r="B4" s="494"/>
      <c r="C4" s="43" t="s">
        <v>81</v>
      </c>
      <c r="D4" s="44" t="s">
        <v>82</v>
      </c>
      <c r="E4" s="44" t="s">
        <v>83</v>
      </c>
      <c r="F4" s="45" t="s">
        <v>91</v>
      </c>
      <c r="G4" s="43" t="s">
        <v>81</v>
      </c>
      <c r="H4" s="44" t="s">
        <v>82</v>
      </c>
      <c r="I4" s="44" t="s">
        <v>83</v>
      </c>
      <c r="J4" s="45" t="s">
        <v>93</v>
      </c>
      <c r="K4" s="485"/>
    </row>
    <row r="5" spans="1:11" ht="43.9" customHeight="1" thickBot="1" x14ac:dyDescent="0.25">
      <c r="A5" s="476" t="s">
        <v>29</v>
      </c>
      <c r="B5" s="477"/>
      <c r="C5" s="289">
        <f>SUM(C6:C30)</f>
        <v>0</v>
      </c>
      <c r="D5" s="289">
        <f t="shared" ref="D5:E5" si="0">SUM(D6:D30)</f>
        <v>68230</v>
      </c>
      <c r="E5" s="289">
        <f t="shared" si="0"/>
        <v>0</v>
      </c>
      <c r="F5" s="289">
        <f t="shared" ref="F5" si="1">SUM(F6:F30)</f>
        <v>68230</v>
      </c>
      <c r="G5" s="290">
        <f t="shared" ref="G5" si="2">SUM(G6:G30)</f>
        <v>100000</v>
      </c>
      <c r="H5" s="291">
        <f t="shared" ref="H5" si="3">SUM(H6:H30)</f>
        <v>1006055</v>
      </c>
      <c r="I5" s="289">
        <f t="shared" ref="I5" si="4">SUM(I6:I30)</f>
        <v>38374</v>
      </c>
      <c r="J5" s="289">
        <f t="shared" ref="J5" si="5">SUM(J6:J30)</f>
        <v>1144429</v>
      </c>
      <c r="K5" s="289">
        <f t="shared" ref="K5" si="6">SUM(K6:K30)</f>
        <v>1212659</v>
      </c>
    </row>
    <row r="6" spans="1:11" ht="25.5" x14ac:dyDescent="0.2">
      <c r="A6" s="475" t="s">
        <v>151</v>
      </c>
      <c r="B6" s="279" t="s">
        <v>84</v>
      </c>
      <c r="C6" s="283">
        <v>0</v>
      </c>
      <c r="D6" s="49">
        <f>SUM(PNUD!I6:Q6)</f>
        <v>0</v>
      </c>
      <c r="E6" s="49">
        <v>0</v>
      </c>
      <c r="F6" s="50">
        <f t="shared" ref="F6:F30" si="7">C6+D6+E6</f>
        <v>0</v>
      </c>
      <c r="G6" s="283">
        <v>0</v>
      </c>
      <c r="H6" s="49">
        <f>SUM(PNUD!AC6:AK6)</f>
        <v>0</v>
      </c>
      <c r="I6" s="49">
        <v>0</v>
      </c>
      <c r="J6" s="267">
        <f t="shared" ref="J6:J30" si="8">G6+H6+I6</f>
        <v>0</v>
      </c>
      <c r="K6" s="56">
        <f t="shared" ref="K6:K30" si="9">F6+J6</f>
        <v>0</v>
      </c>
    </row>
    <row r="7" spans="1:11" ht="25.5" x14ac:dyDescent="0.2">
      <c r="A7" s="473"/>
      <c r="B7" s="47" t="s">
        <v>85</v>
      </c>
      <c r="C7" s="305">
        <v>0</v>
      </c>
      <c r="D7" s="39">
        <f>SUM(PNUD!D6:G6)</f>
        <v>19680</v>
      </c>
      <c r="E7" s="39">
        <v>0</v>
      </c>
      <c r="F7" s="52">
        <f t="shared" si="7"/>
        <v>19680</v>
      </c>
      <c r="G7" s="305">
        <v>0</v>
      </c>
      <c r="H7" s="39">
        <f>SUM(PNUD!X6:AA6)</f>
        <v>0</v>
      </c>
      <c r="I7" s="304">
        <v>0</v>
      </c>
      <c r="J7" s="268">
        <f t="shared" si="8"/>
        <v>0</v>
      </c>
      <c r="K7" s="57">
        <f t="shared" si="9"/>
        <v>19680</v>
      </c>
    </row>
    <row r="8" spans="1:11" ht="12.75" x14ac:dyDescent="0.2">
      <c r="A8" s="473"/>
      <c r="B8" s="47" t="s">
        <v>86</v>
      </c>
      <c r="C8" s="305">
        <v>0</v>
      </c>
      <c r="D8" s="39">
        <f>PNUD!U6</f>
        <v>20000</v>
      </c>
      <c r="E8" s="39">
        <v>0</v>
      </c>
      <c r="F8" s="52">
        <f t="shared" si="7"/>
        <v>20000</v>
      </c>
      <c r="G8" s="305">
        <v>0</v>
      </c>
      <c r="H8" s="39">
        <f>PNUD!AO6</f>
        <v>0</v>
      </c>
      <c r="I8" s="304">
        <v>0</v>
      </c>
      <c r="J8" s="268">
        <f t="shared" si="8"/>
        <v>0</v>
      </c>
      <c r="K8" s="57">
        <f t="shared" si="9"/>
        <v>20000</v>
      </c>
    </row>
    <row r="9" spans="1:11" ht="15" customHeight="1" x14ac:dyDescent="0.2">
      <c r="A9" s="473"/>
      <c r="B9" s="47" t="s">
        <v>87</v>
      </c>
      <c r="C9" s="305">
        <v>0</v>
      </c>
      <c r="D9" s="39">
        <f>PNUD!H6+PNUD!R6+PNUD!S6</f>
        <v>0</v>
      </c>
      <c r="E9" s="39">
        <v>0</v>
      </c>
      <c r="F9" s="52">
        <f t="shared" si="7"/>
        <v>0</v>
      </c>
      <c r="G9" s="305">
        <v>0</v>
      </c>
      <c r="H9" s="39">
        <f>PNUD!AB6+PNUD!AL6+PNUD!AM6</f>
        <v>0</v>
      </c>
      <c r="I9" s="304">
        <v>0</v>
      </c>
      <c r="J9" s="268">
        <f t="shared" si="8"/>
        <v>0</v>
      </c>
      <c r="K9" s="57">
        <f t="shared" si="9"/>
        <v>0</v>
      </c>
    </row>
    <row r="10" spans="1:11" ht="13.5" thickBot="1" x14ac:dyDescent="0.25">
      <c r="A10" s="474"/>
      <c r="B10" s="280" t="s">
        <v>88</v>
      </c>
      <c r="C10" s="285">
        <v>0</v>
      </c>
      <c r="D10" s="54">
        <f>PNUD!T6</f>
        <v>9800</v>
      </c>
      <c r="E10" s="54">
        <v>0</v>
      </c>
      <c r="F10" s="55">
        <f t="shared" si="7"/>
        <v>9800</v>
      </c>
      <c r="G10" s="285">
        <v>0</v>
      </c>
      <c r="H10" s="54">
        <f>PNUD!AN6</f>
        <v>0</v>
      </c>
      <c r="I10" s="54">
        <v>0</v>
      </c>
      <c r="J10" s="275">
        <f t="shared" si="8"/>
        <v>0</v>
      </c>
      <c r="K10" s="58">
        <f t="shared" si="9"/>
        <v>9800</v>
      </c>
    </row>
    <row r="11" spans="1:11" ht="25.5" x14ac:dyDescent="0.2">
      <c r="A11" s="475" t="s">
        <v>152</v>
      </c>
      <c r="B11" s="279" t="s">
        <v>84</v>
      </c>
      <c r="C11" s="283">
        <v>0</v>
      </c>
      <c r="D11" s="49">
        <f>SUM(PNUD!I8:Q8)</f>
        <v>0</v>
      </c>
      <c r="E11" s="49">
        <v>0</v>
      </c>
      <c r="F11" s="50">
        <f t="shared" si="7"/>
        <v>0</v>
      </c>
      <c r="G11" s="283">
        <v>0</v>
      </c>
      <c r="H11" s="49">
        <f>SUM(PNUD!AC8:AK8)</f>
        <v>37450</v>
      </c>
      <c r="I11" s="49">
        <v>0</v>
      </c>
      <c r="J11" s="267">
        <f t="shared" si="8"/>
        <v>37450</v>
      </c>
      <c r="K11" s="56">
        <f t="shared" si="9"/>
        <v>37450</v>
      </c>
    </row>
    <row r="12" spans="1:11" ht="25.5" x14ac:dyDescent="0.2">
      <c r="A12" s="473" t="s">
        <v>85</v>
      </c>
      <c r="B12" s="47" t="s">
        <v>85</v>
      </c>
      <c r="C12" s="305">
        <v>0</v>
      </c>
      <c r="D12" s="39">
        <f>SUM(PNUD!D8:G8)</f>
        <v>0</v>
      </c>
      <c r="E12" s="39">
        <v>0</v>
      </c>
      <c r="F12" s="52">
        <f t="shared" si="7"/>
        <v>0</v>
      </c>
      <c r="G12" s="305">
        <v>0</v>
      </c>
      <c r="H12" s="39">
        <f>SUM(PNUD!X8:AA8)</f>
        <v>127440</v>
      </c>
      <c r="I12" s="39">
        <v>0</v>
      </c>
      <c r="J12" s="268">
        <f t="shared" si="8"/>
        <v>127440</v>
      </c>
      <c r="K12" s="57">
        <f t="shared" si="9"/>
        <v>127440</v>
      </c>
    </row>
    <row r="13" spans="1:11" ht="12.75" x14ac:dyDescent="0.2">
      <c r="A13" s="473" t="s">
        <v>86</v>
      </c>
      <c r="B13" s="47" t="s">
        <v>86</v>
      </c>
      <c r="C13" s="305">
        <v>0</v>
      </c>
      <c r="D13" s="39">
        <f>PNUD!U8</f>
        <v>0</v>
      </c>
      <c r="E13" s="39">
        <v>0</v>
      </c>
      <c r="F13" s="52">
        <f t="shared" si="7"/>
        <v>0</v>
      </c>
      <c r="G13" s="282">
        <v>50000</v>
      </c>
      <c r="H13" s="39">
        <f>PNUD!AO8</f>
        <v>365550</v>
      </c>
      <c r="I13" s="39">
        <v>18374</v>
      </c>
      <c r="J13" s="268">
        <f t="shared" si="8"/>
        <v>433924</v>
      </c>
      <c r="K13" s="57">
        <f t="shared" si="9"/>
        <v>433924</v>
      </c>
    </row>
    <row r="14" spans="1:11" ht="12.75" x14ac:dyDescent="0.2">
      <c r="A14" s="473" t="s">
        <v>87</v>
      </c>
      <c r="B14" s="47" t="s">
        <v>87</v>
      </c>
      <c r="C14" s="305">
        <v>0</v>
      </c>
      <c r="D14" s="39">
        <f>PNUD!H8+PNUD!R8+PNUD!S8</f>
        <v>0</v>
      </c>
      <c r="E14" s="39">
        <v>0</v>
      </c>
      <c r="F14" s="52">
        <f t="shared" si="7"/>
        <v>0</v>
      </c>
      <c r="G14" s="284">
        <v>0</v>
      </c>
      <c r="H14" s="39">
        <f>PNUD!AB8+PNUD!AL8+PNUD!AM8</f>
        <v>22000</v>
      </c>
      <c r="I14" s="39">
        <v>0</v>
      </c>
      <c r="J14" s="268">
        <f t="shared" si="8"/>
        <v>22000</v>
      </c>
      <c r="K14" s="57">
        <f t="shared" si="9"/>
        <v>22000</v>
      </c>
    </row>
    <row r="15" spans="1:11" ht="13.5" thickBot="1" x14ac:dyDescent="0.25">
      <c r="A15" s="474" t="s">
        <v>88</v>
      </c>
      <c r="B15" s="280" t="s">
        <v>88</v>
      </c>
      <c r="C15" s="285">
        <v>0</v>
      </c>
      <c r="D15" s="54">
        <f>PNUD!T8</f>
        <v>0</v>
      </c>
      <c r="E15" s="54">
        <v>0</v>
      </c>
      <c r="F15" s="55">
        <f t="shared" si="7"/>
        <v>0</v>
      </c>
      <c r="G15" s="285">
        <v>0</v>
      </c>
      <c r="H15" s="54">
        <f>PNUD!AN8</f>
        <v>21725</v>
      </c>
      <c r="I15" s="54">
        <v>0</v>
      </c>
      <c r="J15" s="275">
        <f t="shared" si="8"/>
        <v>21725</v>
      </c>
      <c r="K15" s="58">
        <f t="shared" si="9"/>
        <v>21725</v>
      </c>
    </row>
    <row r="16" spans="1:11" ht="25.5" x14ac:dyDescent="0.2">
      <c r="A16" s="475" t="s">
        <v>153</v>
      </c>
      <c r="B16" s="279" t="s">
        <v>84</v>
      </c>
      <c r="C16" s="283">
        <v>0</v>
      </c>
      <c r="D16" s="49">
        <f>SUM(PNUD!I21:Q21)</f>
        <v>0</v>
      </c>
      <c r="E16" s="49">
        <v>0</v>
      </c>
      <c r="F16" s="50">
        <f t="shared" si="7"/>
        <v>0</v>
      </c>
      <c r="G16" s="283">
        <v>0</v>
      </c>
      <c r="H16" s="49">
        <f>SUM(PNUD!AC21:AK21)</f>
        <v>2000</v>
      </c>
      <c r="I16" s="49">
        <v>0</v>
      </c>
      <c r="J16" s="267">
        <f t="shared" si="8"/>
        <v>2000</v>
      </c>
      <c r="K16" s="56">
        <f t="shared" si="9"/>
        <v>2000</v>
      </c>
    </row>
    <row r="17" spans="1:11" ht="25.5" x14ac:dyDescent="0.2">
      <c r="A17" s="473"/>
      <c r="B17" s="47" t="s">
        <v>85</v>
      </c>
      <c r="C17" s="305">
        <v>0</v>
      </c>
      <c r="D17" s="39">
        <f>PNUD!D21:G21</f>
        <v>0</v>
      </c>
      <c r="E17" s="39">
        <v>0</v>
      </c>
      <c r="F17" s="52">
        <f t="shared" si="7"/>
        <v>0</v>
      </c>
      <c r="G17" s="305">
        <v>0</v>
      </c>
      <c r="H17" s="39">
        <f>SUM(PNUD!X21:AA21)</f>
        <v>7000</v>
      </c>
      <c r="I17" s="304">
        <v>0</v>
      </c>
      <c r="J17" s="268">
        <f t="shared" si="8"/>
        <v>7000</v>
      </c>
      <c r="K17" s="57">
        <f t="shared" si="9"/>
        <v>7000</v>
      </c>
    </row>
    <row r="18" spans="1:11" ht="12.75" x14ac:dyDescent="0.2">
      <c r="A18" s="473"/>
      <c r="B18" s="47" t="s">
        <v>86</v>
      </c>
      <c r="C18" s="305">
        <v>0</v>
      </c>
      <c r="D18" s="39">
        <f>PNUD!U21</f>
        <v>0</v>
      </c>
      <c r="E18" s="39">
        <v>0</v>
      </c>
      <c r="F18" s="52">
        <f t="shared" si="7"/>
        <v>0</v>
      </c>
      <c r="G18" s="305">
        <v>0</v>
      </c>
      <c r="H18" s="39">
        <f>PNUD!AO21</f>
        <v>1500</v>
      </c>
      <c r="I18" s="304">
        <v>0</v>
      </c>
      <c r="J18" s="268">
        <f t="shared" si="8"/>
        <v>1500</v>
      </c>
      <c r="K18" s="57">
        <f t="shared" si="9"/>
        <v>1500</v>
      </c>
    </row>
    <row r="19" spans="1:11" ht="12.75" x14ac:dyDescent="0.2">
      <c r="A19" s="473"/>
      <c r="B19" s="47" t="s">
        <v>87</v>
      </c>
      <c r="C19" s="305">
        <v>0</v>
      </c>
      <c r="D19" s="39">
        <f>PNUD!H21+PNUD!R21+PNUD!S21</f>
        <v>0</v>
      </c>
      <c r="E19" s="39">
        <v>0</v>
      </c>
      <c r="F19" s="52">
        <f t="shared" si="7"/>
        <v>0</v>
      </c>
      <c r="G19" s="305">
        <v>0</v>
      </c>
      <c r="H19" s="39">
        <f>PNUD!AB21+PNUD!AL21+PNUD!AM21</f>
        <v>5000</v>
      </c>
      <c r="I19" s="304">
        <v>0</v>
      </c>
      <c r="J19" s="268">
        <f t="shared" si="8"/>
        <v>5000</v>
      </c>
      <c r="K19" s="57">
        <f t="shared" si="9"/>
        <v>5000</v>
      </c>
    </row>
    <row r="20" spans="1:11" ht="13.5" thickBot="1" x14ac:dyDescent="0.25">
      <c r="A20" s="474"/>
      <c r="B20" s="280" t="s">
        <v>88</v>
      </c>
      <c r="C20" s="285">
        <v>0</v>
      </c>
      <c r="D20" s="54">
        <f>PNUD!T21</f>
        <v>0</v>
      </c>
      <c r="E20" s="54">
        <v>0</v>
      </c>
      <c r="F20" s="55">
        <f t="shared" si="7"/>
        <v>0</v>
      </c>
      <c r="G20" s="285">
        <v>0</v>
      </c>
      <c r="H20" s="54">
        <f>PNUD!AN21</f>
        <v>10000</v>
      </c>
      <c r="I20" s="54">
        <v>0</v>
      </c>
      <c r="J20" s="275">
        <f t="shared" si="8"/>
        <v>10000</v>
      </c>
      <c r="K20" s="58">
        <f t="shared" si="9"/>
        <v>10000</v>
      </c>
    </row>
    <row r="21" spans="1:11" ht="25.5" x14ac:dyDescent="0.2">
      <c r="A21" s="475" t="s">
        <v>229</v>
      </c>
      <c r="B21" s="279" t="s">
        <v>84</v>
      </c>
      <c r="C21" s="283">
        <v>0</v>
      </c>
      <c r="D21" s="49">
        <f>SUM(PNUD!I25:Q25)</f>
        <v>0</v>
      </c>
      <c r="E21" s="49">
        <v>0</v>
      </c>
      <c r="F21" s="50">
        <f t="shared" si="7"/>
        <v>0</v>
      </c>
      <c r="G21" s="283">
        <v>0</v>
      </c>
      <c r="H21" s="49">
        <f>SUM(PNUD!AC25:AK25)</f>
        <v>25000</v>
      </c>
      <c r="I21" s="49">
        <v>0</v>
      </c>
      <c r="J21" s="267">
        <f t="shared" si="8"/>
        <v>25000</v>
      </c>
      <c r="K21" s="56">
        <f t="shared" si="9"/>
        <v>25000</v>
      </c>
    </row>
    <row r="22" spans="1:11" ht="25.5" x14ac:dyDescent="0.2">
      <c r="A22" s="473"/>
      <c r="B22" s="47" t="s">
        <v>85</v>
      </c>
      <c r="C22" s="305">
        <v>0</v>
      </c>
      <c r="D22" s="39">
        <f>SUM(PNUD!D25:G25)</f>
        <v>0</v>
      </c>
      <c r="E22" s="39">
        <v>0</v>
      </c>
      <c r="F22" s="52">
        <f t="shared" si="7"/>
        <v>0</v>
      </c>
      <c r="G22" s="305">
        <v>0</v>
      </c>
      <c r="H22" s="39">
        <f>SUM(PNUD!X25:AA25)</f>
        <v>23250</v>
      </c>
      <c r="I22" s="304">
        <v>0</v>
      </c>
      <c r="J22" s="268">
        <f t="shared" si="8"/>
        <v>23250</v>
      </c>
      <c r="K22" s="57">
        <f t="shared" si="9"/>
        <v>23250</v>
      </c>
    </row>
    <row r="23" spans="1:11" ht="12.75" x14ac:dyDescent="0.2">
      <c r="A23" s="473"/>
      <c r="B23" s="47" t="s">
        <v>86</v>
      </c>
      <c r="C23" s="305">
        <v>0</v>
      </c>
      <c r="D23" s="39">
        <f>PNUD!U25</f>
        <v>0</v>
      </c>
      <c r="E23" s="39">
        <v>0</v>
      </c>
      <c r="F23" s="52">
        <f t="shared" si="7"/>
        <v>0</v>
      </c>
      <c r="G23" s="305">
        <v>0</v>
      </c>
      <c r="H23" s="39">
        <f>PNUD!AO25</f>
        <v>19800</v>
      </c>
      <c r="I23" s="304">
        <v>0</v>
      </c>
      <c r="J23" s="268">
        <f t="shared" si="8"/>
        <v>19800</v>
      </c>
      <c r="K23" s="57">
        <f t="shared" si="9"/>
        <v>19800</v>
      </c>
    </row>
    <row r="24" spans="1:11" ht="12.75" x14ac:dyDescent="0.2">
      <c r="A24" s="473"/>
      <c r="B24" s="47" t="s">
        <v>87</v>
      </c>
      <c r="C24" s="305">
        <v>0</v>
      </c>
      <c r="D24" s="39">
        <f>PNUD!H30+PNUD!R30+PNUD!S30</f>
        <v>0</v>
      </c>
      <c r="E24" s="39">
        <v>0</v>
      </c>
      <c r="F24" s="52">
        <f t="shared" si="7"/>
        <v>0</v>
      </c>
      <c r="G24" s="305">
        <v>0</v>
      </c>
      <c r="H24" s="39">
        <f>PNUD!AB25+PNUD!AL25+PNUD!AM25</f>
        <v>0</v>
      </c>
      <c r="I24" s="304">
        <v>0</v>
      </c>
      <c r="J24" s="268">
        <f t="shared" si="8"/>
        <v>0</v>
      </c>
      <c r="K24" s="57">
        <f t="shared" si="9"/>
        <v>0</v>
      </c>
    </row>
    <row r="25" spans="1:11" ht="13.5" thickBot="1" x14ac:dyDescent="0.25">
      <c r="A25" s="474"/>
      <c r="B25" s="280" t="s">
        <v>88</v>
      </c>
      <c r="C25" s="285">
        <v>0</v>
      </c>
      <c r="D25" s="54">
        <f>PNUD!T25</f>
        <v>0</v>
      </c>
      <c r="E25" s="54">
        <v>0</v>
      </c>
      <c r="F25" s="55">
        <f t="shared" si="7"/>
        <v>0</v>
      </c>
      <c r="G25" s="285">
        <v>0</v>
      </c>
      <c r="H25" s="54">
        <f>PNUD!AN25</f>
        <v>10000</v>
      </c>
      <c r="I25" s="54">
        <v>0</v>
      </c>
      <c r="J25" s="275">
        <f t="shared" si="8"/>
        <v>10000</v>
      </c>
      <c r="K25" s="58">
        <f t="shared" si="9"/>
        <v>10000</v>
      </c>
    </row>
    <row r="26" spans="1:11" ht="25.5" x14ac:dyDescent="0.2">
      <c r="A26" s="475" t="s">
        <v>174</v>
      </c>
      <c r="B26" s="279" t="s">
        <v>84</v>
      </c>
      <c r="C26" s="305">
        <v>0</v>
      </c>
      <c r="D26" s="49">
        <f>SUM(PNUD!I30:Q30)</f>
        <v>8350</v>
      </c>
      <c r="E26" s="49">
        <v>0</v>
      </c>
      <c r="F26" s="50">
        <f t="shared" si="7"/>
        <v>8350</v>
      </c>
      <c r="G26" s="283">
        <v>0</v>
      </c>
      <c r="H26" s="49">
        <f>SUM(PNUD!AC30:AK30)</f>
        <v>54400</v>
      </c>
      <c r="I26" s="49">
        <v>0</v>
      </c>
      <c r="J26" s="50">
        <f t="shared" si="8"/>
        <v>54400</v>
      </c>
      <c r="K26" s="56">
        <f t="shared" si="9"/>
        <v>62750</v>
      </c>
    </row>
    <row r="27" spans="1:11" ht="25.5" x14ac:dyDescent="0.2">
      <c r="A27" s="473"/>
      <c r="B27" s="47" t="s">
        <v>85</v>
      </c>
      <c r="C27" s="305">
        <v>0</v>
      </c>
      <c r="D27" s="39">
        <f>SUM(PNUD!D30:G30)</f>
        <v>10200</v>
      </c>
      <c r="E27" s="39">
        <v>0</v>
      </c>
      <c r="F27" s="52">
        <f t="shared" si="7"/>
        <v>10200</v>
      </c>
      <c r="G27" s="284">
        <v>0</v>
      </c>
      <c r="H27" s="39">
        <f>SUM(PNUD!X30:AA30)</f>
        <v>270940</v>
      </c>
      <c r="I27" s="39">
        <v>20000</v>
      </c>
      <c r="J27" s="52">
        <f t="shared" si="8"/>
        <v>290940</v>
      </c>
      <c r="K27" s="57">
        <f t="shared" si="9"/>
        <v>301140</v>
      </c>
    </row>
    <row r="28" spans="1:11" ht="12.75" x14ac:dyDescent="0.2">
      <c r="A28" s="473"/>
      <c r="B28" s="47" t="s">
        <v>86</v>
      </c>
      <c r="C28" s="305">
        <v>0</v>
      </c>
      <c r="D28" s="39">
        <f>PNUD!U30</f>
        <v>0</v>
      </c>
      <c r="E28" s="39">
        <v>0</v>
      </c>
      <c r="F28" s="52">
        <f t="shared" si="7"/>
        <v>0</v>
      </c>
      <c r="G28" s="284">
        <v>0</v>
      </c>
      <c r="H28" s="39">
        <f>PNUD!AO30</f>
        <v>0</v>
      </c>
      <c r="I28" s="39">
        <v>0</v>
      </c>
      <c r="J28" s="52">
        <f t="shared" si="8"/>
        <v>0</v>
      </c>
      <c r="K28" s="57">
        <f t="shared" si="9"/>
        <v>0</v>
      </c>
    </row>
    <row r="29" spans="1:11" ht="12.75" x14ac:dyDescent="0.2">
      <c r="A29" s="473"/>
      <c r="B29" s="47" t="s">
        <v>87</v>
      </c>
      <c r="C29" s="282">
        <v>0</v>
      </c>
      <c r="D29" s="39">
        <f>PNUD!H30+PNUD!R30+PNUD!S30</f>
        <v>0</v>
      </c>
      <c r="E29" s="39">
        <v>0</v>
      </c>
      <c r="F29" s="52">
        <f t="shared" si="7"/>
        <v>0</v>
      </c>
      <c r="G29" s="51">
        <v>50000</v>
      </c>
      <c r="H29" s="39">
        <f>PNUD!AB30+PNUD!AL30+PNUD!AM30</f>
        <v>0</v>
      </c>
      <c r="I29" s="39">
        <v>0</v>
      </c>
      <c r="J29" s="52">
        <f t="shared" si="8"/>
        <v>50000</v>
      </c>
      <c r="K29" s="57">
        <f t="shared" si="9"/>
        <v>50000</v>
      </c>
    </row>
    <row r="30" spans="1:11" ht="13.5" thickBot="1" x14ac:dyDescent="0.25">
      <c r="A30" s="474"/>
      <c r="B30" s="280" t="s">
        <v>88</v>
      </c>
      <c r="C30" s="305">
        <v>0</v>
      </c>
      <c r="D30" s="273">
        <f>PNUD!T30</f>
        <v>200</v>
      </c>
      <c r="E30" s="273">
        <v>0</v>
      </c>
      <c r="F30" s="281">
        <f t="shared" si="7"/>
        <v>200</v>
      </c>
      <c r="G30" s="286">
        <v>0</v>
      </c>
      <c r="H30" s="273">
        <f>PNUD!AN30</f>
        <v>3000</v>
      </c>
      <c r="I30" s="273"/>
      <c r="J30" s="281">
        <f t="shared" si="8"/>
        <v>3000</v>
      </c>
      <c r="K30" s="277">
        <f t="shared" si="9"/>
        <v>3200</v>
      </c>
    </row>
    <row r="31" spans="1:11" ht="31.7" customHeight="1" thickBot="1" x14ac:dyDescent="0.25">
      <c r="A31" s="481" t="s">
        <v>175</v>
      </c>
      <c r="B31" s="482"/>
      <c r="C31" s="292">
        <f>SUM(C32:C46)</f>
        <v>0</v>
      </c>
      <c r="D31" s="292">
        <f t="shared" ref="D31:F31" si="10">SUM(D32:D46)</f>
        <v>0</v>
      </c>
      <c r="E31" s="292">
        <f t="shared" si="10"/>
        <v>0</v>
      </c>
      <c r="F31" s="292">
        <f t="shared" si="10"/>
        <v>0</v>
      </c>
      <c r="G31" s="292">
        <f>SUM(G32:G46)</f>
        <v>0</v>
      </c>
      <c r="H31" s="292">
        <f t="shared" ref="H31:K31" si="11">SUM(H32:H46)</f>
        <v>0</v>
      </c>
      <c r="I31" s="292">
        <f t="shared" si="11"/>
        <v>105000</v>
      </c>
      <c r="J31" s="292">
        <f t="shared" si="11"/>
        <v>105000</v>
      </c>
      <c r="K31" s="292">
        <f t="shared" si="11"/>
        <v>105000</v>
      </c>
    </row>
    <row r="32" spans="1:11" ht="25.5" x14ac:dyDescent="0.2">
      <c r="A32" s="475" t="s">
        <v>50</v>
      </c>
      <c r="B32" s="279" t="s">
        <v>84</v>
      </c>
      <c r="C32" s="283">
        <v>0</v>
      </c>
      <c r="D32" s="303">
        <v>0</v>
      </c>
      <c r="E32" s="49">
        <v>0</v>
      </c>
      <c r="F32" s="268">
        <f>E32+D32+C32</f>
        <v>0</v>
      </c>
      <c r="G32" s="283"/>
      <c r="H32" s="111"/>
      <c r="I32" s="49">
        <v>0</v>
      </c>
      <c r="J32" s="50">
        <f>I32+H32+G32</f>
        <v>0</v>
      </c>
      <c r="K32" s="269">
        <f>J32+F32</f>
        <v>0</v>
      </c>
    </row>
    <row r="33" spans="1:11" ht="25.5" x14ac:dyDescent="0.2">
      <c r="A33" s="473"/>
      <c r="B33" s="47" t="s">
        <v>85</v>
      </c>
      <c r="C33" s="305">
        <v>0</v>
      </c>
      <c r="D33" s="306">
        <v>0</v>
      </c>
      <c r="E33" s="39">
        <v>0</v>
      </c>
      <c r="F33" s="268">
        <f>E33+D33+C33</f>
        <v>0</v>
      </c>
      <c r="G33" s="284"/>
      <c r="H33" s="112"/>
      <c r="I33" s="39">
        <v>12000</v>
      </c>
      <c r="J33" s="52">
        <f>I33+H339+G33</f>
        <v>12000</v>
      </c>
      <c r="K33" s="270">
        <f t="shared" ref="K33:K46" si="12">J33+F33</f>
        <v>12000</v>
      </c>
    </row>
    <row r="34" spans="1:11" ht="12.75" x14ac:dyDescent="0.2">
      <c r="A34" s="473"/>
      <c r="B34" s="47" t="s">
        <v>86</v>
      </c>
      <c r="C34" s="305">
        <v>0</v>
      </c>
      <c r="D34" s="306">
        <v>0</v>
      </c>
      <c r="E34" s="39">
        <v>0</v>
      </c>
      <c r="F34" s="268">
        <f t="shared" ref="F34:F46" si="13">E34+D34+C34</f>
        <v>0</v>
      </c>
      <c r="G34" s="284"/>
      <c r="H34" s="112"/>
      <c r="I34" s="39">
        <v>0</v>
      </c>
      <c r="J34" s="52">
        <f t="shared" ref="J34:J46" si="14">I34+H340+G34</f>
        <v>0</v>
      </c>
      <c r="K34" s="270">
        <f t="shared" si="12"/>
        <v>0</v>
      </c>
    </row>
    <row r="35" spans="1:11" ht="12.75" x14ac:dyDescent="0.2">
      <c r="A35" s="473"/>
      <c r="B35" s="47" t="s">
        <v>87</v>
      </c>
      <c r="C35" s="305">
        <v>0</v>
      </c>
      <c r="D35" s="306">
        <v>0</v>
      </c>
      <c r="E35" s="39">
        <v>0</v>
      </c>
      <c r="F35" s="268">
        <f t="shared" si="13"/>
        <v>0</v>
      </c>
      <c r="G35" s="284"/>
      <c r="H35" s="112"/>
      <c r="I35" s="39">
        <v>0</v>
      </c>
      <c r="J35" s="52">
        <f t="shared" si="14"/>
        <v>0</v>
      </c>
      <c r="K35" s="270">
        <f t="shared" si="12"/>
        <v>0</v>
      </c>
    </row>
    <row r="36" spans="1:11" ht="13.5" thickBot="1" x14ac:dyDescent="0.25">
      <c r="A36" s="474"/>
      <c r="B36" s="280" t="s">
        <v>88</v>
      </c>
      <c r="C36" s="285">
        <v>0</v>
      </c>
      <c r="D36" s="307">
        <v>0</v>
      </c>
      <c r="E36" s="54">
        <v>0</v>
      </c>
      <c r="F36" s="275">
        <f t="shared" si="13"/>
        <v>0</v>
      </c>
      <c r="G36" s="285"/>
      <c r="H36" s="115"/>
      <c r="I36" s="54">
        <v>0</v>
      </c>
      <c r="J36" s="55">
        <f t="shared" si="14"/>
        <v>0</v>
      </c>
      <c r="K36" s="293">
        <f t="shared" si="12"/>
        <v>0</v>
      </c>
    </row>
    <row r="37" spans="1:11" s="40" customFormat="1" ht="25.5" x14ac:dyDescent="0.2">
      <c r="A37" s="473" t="s">
        <v>78</v>
      </c>
      <c r="B37" s="278" t="s">
        <v>84</v>
      </c>
      <c r="C37" s="283">
        <v>0</v>
      </c>
      <c r="D37" s="303">
        <v>0</v>
      </c>
      <c r="E37" s="274">
        <v>0</v>
      </c>
      <c r="F37" s="276">
        <f t="shared" si="13"/>
        <v>0</v>
      </c>
      <c r="G37" s="294"/>
      <c r="H37" s="295"/>
      <c r="I37" s="49">
        <v>0</v>
      </c>
      <c r="J37" s="50">
        <f t="shared" si="14"/>
        <v>0</v>
      </c>
      <c r="K37" s="269">
        <f t="shared" si="12"/>
        <v>0</v>
      </c>
    </row>
    <row r="38" spans="1:11" s="40" customFormat="1" ht="25.5" x14ac:dyDescent="0.2">
      <c r="A38" s="473"/>
      <c r="B38" s="47" t="s">
        <v>85</v>
      </c>
      <c r="C38" s="305">
        <v>0</v>
      </c>
      <c r="D38" s="306">
        <v>0</v>
      </c>
      <c r="E38" s="39">
        <v>0</v>
      </c>
      <c r="F38" s="268">
        <f t="shared" si="13"/>
        <v>0</v>
      </c>
      <c r="G38" s="287"/>
      <c r="H38" s="113"/>
      <c r="I38" s="39">
        <v>43000</v>
      </c>
      <c r="J38" s="52">
        <f t="shared" si="14"/>
        <v>43000</v>
      </c>
      <c r="K38" s="270">
        <f t="shared" si="12"/>
        <v>43000</v>
      </c>
    </row>
    <row r="39" spans="1:11" s="40" customFormat="1" ht="12.75" x14ac:dyDescent="0.2">
      <c r="A39" s="473"/>
      <c r="B39" s="47" t="s">
        <v>86</v>
      </c>
      <c r="C39" s="305">
        <v>0</v>
      </c>
      <c r="D39" s="306">
        <v>0</v>
      </c>
      <c r="E39" s="39">
        <v>0</v>
      </c>
      <c r="F39" s="268">
        <f t="shared" si="13"/>
        <v>0</v>
      </c>
      <c r="G39" s="287"/>
      <c r="H39" s="113"/>
      <c r="I39" s="39">
        <v>10000</v>
      </c>
      <c r="J39" s="52">
        <f t="shared" si="14"/>
        <v>10000</v>
      </c>
      <c r="K39" s="270">
        <f t="shared" si="12"/>
        <v>10000</v>
      </c>
    </row>
    <row r="40" spans="1:11" s="40" customFormat="1" ht="12.75" x14ac:dyDescent="0.2">
      <c r="A40" s="473"/>
      <c r="B40" s="47" t="s">
        <v>87</v>
      </c>
      <c r="C40" s="305">
        <v>0</v>
      </c>
      <c r="D40" s="306">
        <v>0</v>
      </c>
      <c r="E40" s="39">
        <v>0</v>
      </c>
      <c r="F40" s="268">
        <f t="shared" si="13"/>
        <v>0</v>
      </c>
      <c r="G40" s="287"/>
      <c r="H40" s="113"/>
      <c r="I40" s="39">
        <v>5000</v>
      </c>
      <c r="J40" s="52">
        <f t="shared" si="14"/>
        <v>5000</v>
      </c>
      <c r="K40" s="270">
        <f t="shared" si="12"/>
        <v>5000</v>
      </c>
    </row>
    <row r="41" spans="1:11" s="40" customFormat="1" ht="25.5" customHeight="1" thickBot="1" x14ac:dyDescent="0.25">
      <c r="A41" s="474"/>
      <c r="B41" s="280" t="s">
        <v>88</v>
      </c>
      <c r="C41" s="285">
        <v>0</v>
      </c>
      <c r="D41" s="307">
        <v>0</v>
      </c>
      <c r="E41" s="54">
        <v>0</v>
      </c>
      <c r="F41" s="275">
        <f t="shared" si="13"/>
        <v>0</v>
      </c>
      <c r="G41" s="288"/>
      <c r="H41" s="114"/>
      <c r="I41" s="54">
        <v>5000</v>
      </c>
      <c r="J41" s="55">
        <f t="shared" si="14"/>
        <v>5000</v>
      </c>
      <c r="K41" s="293">
        <f t="shared" si="12"/>
        <v>5000</v>
      </c>
    </row>
    <row r="42" spans="1:11" s="40" customFormat="1" ht="25.5" customHeight="1" x14ac:dyDescent="0.2">
      <c r="A42" s="475" t="s">
        <v>187</v>
      </c>
      <c r="B42" s="279" t="s">
        <v>84</v>
      </c>
      <c r="C42" s="283">
        <v>0</v>
      </c>
      <c r="D42" s="303">
        <v>0</v>
      </c>
      <c r="E42" s="265">
        <v>0</v>
      </c>
      <c r="F42" s="267">
        <f t="shared" si="13"/>
        <v>0</v>
      </c>
      <c r="G42" s="294"/>
      <c r="H42" s="295"/>
      <c r="I42" s="297">
        <v>0</v>
      </c>
      <c r="J42" s="298">
        <f t="shared" si="14"/>
        <v>0</v>
      </c>
      <c r="K42" s="269">
        <f t="shared" si="12"/>
        <v>0</v>
      </c>
    </row>
    <row r="43" spans="1:11" s="40" customFormat="1" ht="25.5" customHeight="1" x14ac:dyDescent="0.2">
      <c r="A43" s="473"/>
      <c r="B43" s="47" t="s">
        <v>85</v>
      </c>
      <c r="C43" s="305">
        <v>0</v>
      </c>
      <c r="D43" s="306">
        <v>0</v>
      </c>
      <c r="E43" s="266">
        <v>0</v>
      </c>
      <c r="F43" s="268">
        <f t="shared" si="13"/>
        <v>0</v>
      </c>
      <c r="G43" s="287"/>
      <c r="H43" s="113"/>
      <c r="I43" s="299">
        <v>30000</v>
      </c>
      <c r="J43" s="300">
        <f t="shared" si="14"/>
        <v>30000</v>
      </c>
      <c r="K43" s="270">
        <f>J43+F43</f>
        <v>30000</v>
      </c>
    </row>
    <row r="44" spans="1:11" s="40" customFormat="1" ht="25.5" customHeight="1" x14ac:dyDescent="0.2">
      <c r="A44" s="473"/>
      <c r="B44" s="47" t="s">
        <v>86</v>
      </c>
      <c r="C44" s="305">
        <v>0</v>
      </c>
      <c r="D44" s="306">
        <v>0</v>
      </c>
      <c r="E44" s="266">
        <v>0</v>
      </c>
      <c r="F44" s="268">
        <f t="shared" si="13"/>
        <v>0</v>
      </c>
      <c r="G44" s="287"/>
      <c r="H44" s="113"/>
      <c r="I44" s="299">
        <v>0</v>
      </c>
      <c r="J44" s="300">
        <f t="shared" si="14"/>
        <v>0</v>
      </c>
      <c r="K44" s="270">
        <f t="shared" si="12"/>
        <v>0</v>
      </c>
    </row>
    <row r="45" spans="1:11" s="40" customFormat="1" ht="25.5" customHeight="1" x14ac:dyDescent="0.2">
      <c r="A45" s="473"/>
      <c r="B45" s="47" t="s">
        <v>87</v>
      </c>
      <c r="C45" s="305">
        <v>0</v>
      </c>
      <c r="D45" s="306">
        <v>0</v>
      </c>
      <c r="E45" s="266">
        <v>0</v>
      </c>
      <c r="F45" s="268">
        <f t="shared" si="13"/>
        <v>0</v>
      </c>
      <c r="G45" s="287"/>
      <c r="H45" s="113"/>
      <c r="I45" s="299">
        <v>0</v>
      </c>
      <c r="J45" s="300">
        <f t="shared" si="14"/>
        <v>0</v>
      </c>
      <c r="K45" s="270">
        <f t="shared" si="12"/>
        <v>0</v>
      </c>
    </row>
    <row r="46" spans="1:11" s="40" customFormat="1" ht="25.5" customHeight="1" thickBot="1" x14ac:dyDescent="0.25">
      <c r="A46" s="474"/>
      <c r="B46" s="280" t="s">
        <v>88</v>
      </c>
      <c r="C46" s="285">
        <v>0</v>
      </c>
      <c r="D46" s="307">
        <v>0</v>
      </c>
      <c r="E46" s="272">
        <v>0</v>
      </c>
      <c r="F46" s="275">
        <f t="shared" si="13"/>
        <v>0</v>
      </c>
      <c r="G46" s="288"/>
      <c r="H46" s="114"/>
      <c r="I46" s="301">
        <v>0</v>
      </c>
      <c r="J46" s="302">
        <f t="shared" si="14"/>
        <v>0</v>
      </c>
      <c r="K46" s="293">
        <f t="shared" si="12"/>
        <v>0</v>
      </c>
    </row>
    <row r="47" spans="1:11" ht="68.25" customHeight="1" thickBot="1" x14ac:dyDescent="0.25">
      <c r="A47" s="431" t="s">
        <v>289</v>
      </c>
      <c r="B47" s="432"/>
      <c r="C47" s="308">
        <f>SUM(C48:C52)</f>
        <v>0</v>
      </c>
      <c r="D47" s="308">
        <f t="shared" ref="D47:J47" si="15">SUM(D48:D52)</f>
        <v>0</v>
      </c>
      <c r="E47" s="308">
        <f t="shared" si="15"/>
        <v>0</v>
      </c>
      <c r="F47" s="308">
        <f t="shared" si="15"/>
        <v>0</v>
      </c>
      <c r="G47" s="308">
        <f t="shared" si="15"/>
        <v>43000</v>
      </c>
      <c r="H47" s="308">
        <f t="shared" si="15"/>
        <v>0</v>
      </c>
      <c r="I47" s="308">
        <f t="shared" si="15"/>
        <v>11000</v>
      </c>
      <c r="J47" s="308">
        <f t="shared" si="15"/>
        <v>54000</v>
      </c>
      <c r="K47" s="308">
        <f>SUM(K48:K52)</f>
        <v>54000</v>
      </c>
    </row>
    <row r="48" spans="1:11" ht="25.5" x14ac:dyDescent="0.2">
      <c r="A48" s="451" t="s">
        <v>195</v>
      </c>
      <c r="B48" s="46" t="s">
        <v>84</v>
      </c>
      <c r="C48" s="48">
        <v>0</v>
      </c>
      <c r="D48" s="111">
        <v>0</v>
      </c>
      <c r="E48" s="49">
        <v>0</v>
      </c>
      <c r="F48" s="50">
        <f>E48+D489+C48</f>
        <v>0</v>
      </c>
      <c r="G48" s="48">
        <v>0</v>
      </c>
      <c r="H48" s="111">
        <v>0</v>
      </c>
      <c r="I48" s="49">
        <v>0</v>
      </c>
      <c r="J48" s="50">
        <f>G48+H48+I48</f>
        <v>0</v>
      </c>
      <c r="K48" s="270">
        <f t="shared" ref="K48:K52" si="16">J48+F48</f>
        <v>0</v>
      </c>
    </row>
    <row r="49" spans="1:11" ht="25.5" x14ac:dyDescent="0.2">
      <c r="A49" s="452"/>
      <c r="B49" s="47" t="s">
        <v>85</v>
      </c>
      <c r="C49" s="51">
        <v>0</v>
      </c>
      <c r="D49" s="112">
        <v>0</v>
      </c>
      <c r="E49" s="39">
        <v>0</v>
      </c>
      <c r="F49" s="52">
        <f>E49+D49+C49</f>
        <v>0</v>
      </c>
      <c r="G49" s="51">
        <v>36000</v>
      </c>
      <c r="H49" s="112">
        <v>0</v>
      </c>
      <c r="I49" s="39">
        <v>4000</v>
      </c>
      <c r="J49" s="52">
        <f>I49+H49+G49</f>
        <v>40000</v>
      </c>
      <c r="K49" s="270">
        <f t="shared" si="16"/>
        <v>40000</v>
      </c>
    </row>
    <row r="50" spans="1:11" ht="12.75" x14ac:dyDescent="0.2">
      <c r="A50" s="452"/>
      <c r="B50" s="47" t="s">
        <v>86</v>
      </c>
      <c r="C50" s="51">
        <v>0</v>
      </c>
      <c r="D50" s="112">
        <v>0</v>
      </c>
      <c r="E50" s="39">
        <v>0</v>
      </c>
      <c r="F50" s="52">
        <f>E50+D50+C50</f>
        <v>0</v>
      </c>
      <c r="G50" s="51">
        <v>7000</v>
      </c>
      <c r="H50" s="112">
        <v>0</v>
      </c>
      <c r="I50" s="39">
        <v>5000</v>
      </c>
      <c r="J50" s="52">
        <f t="shared" ref="J50:J52" si="17">I50+H50+G50</f>
        <v>12000</v>
      </c>
      <c r="K50" s="270">
        <f t="shared" si="16"/>
        <v>12000</v>
      </c>
    </row>
    <row r="51" spans="1:11" ht="12.75" x14ac:dyDescent="0.2">
      <c r="A51" s="452"/>
      <c r="B51" s="47" t="s">
        <v>87</v>
      </c>
      <c r="C51" s="51">
        <v>0</v>
      </c>
      <c r="D51" s="112">
        <v>0</v>
      </c>
      <c r="E51" s="39">
        <v>0</v>
      </c>
      <c r="F51" s="52">
        <f>E51+D51+C51</f>
        <v>0</v>
      </c>
      <c r="G51" s="51">
        <v>0</v>
      </c>
      <c r="H51" s="112">
        <v>0</v>
      </c>
      <c r="I51" s="39">
        <v>0</v>
      </c>
      <c r="J51" s="52">
        <f t="shared" si="17"/>
        <v>0</v>
      </c>
      <c r="K51" s="270">
        <f t="shared" si="16"/>
        <v>0</v>
      </c>
    </row>
    <row r="52" spans="1:11" ht="13.5" thickBot="1" x14ac:dyDescent="0.25">
      <c r="A52" s="498"/>
      <c r="B52" s="47" t="s">
        <v>88</v>
      </c>
      <c r="C52" s="53">
        <v>0</v>
      </c>
      <c r="D52" s="115">
        <v>0</v>
      </c>
      <c r="E52" s="54">
        <v>0</v>
      </c>
      <c r="F52" s="55">
        <f>E52+D52+C52</f>
        <v>0</v>
      </c>
      <c r="G52" s="53">
        <v>0</v>
      </c>
      <c r="H52" s="115">
        <v>0</v>
      </c>
      <c r="I52" s="54">
        <v>2000</v>
      </c>
      <c r="J52" s="55">
        <f t="shared" si="17"/>
        <v>2000</v>
      </c>
      <c r="K52" s="270">
        <f t="shared" si="16"/>
        <v>2000</v>
      </c>
    </row>
    <row r="53" spans="1:11" ht="58.7" customHeight="1" thickBot="1" x14ac:dyDescent="0.25">
      <c r="A53" s="476" t="s">
        <v>226</v>
      </c>
      <c r="B53" s="477"/>
      <c r="C53" s="322">
        <f>SUM(C54:C63)</f>
        <v>103910</v>
      </c>
      <c r="D53" s="322">
        <f t="shared" ref="D53:K53" si="18">SUM(D54:D63)</f>
        <v>0</v>
      </c>
      <c r="E53" s="322">
        <f t="shared" si="18"/>
        <v>0</v>
      </c>
      <c r="F53" s="322">
        <f t="shared" si="18"/>
        <v>103910</v>
      </c>
      <c r="G53" s="322">
        <f t="shared" si="18"/>
        <v>638614</v>
      </c>
      <c r="H53" s="322">
        <f t="shared" si="18"/>
        <v>10229.220000000001</v>
      </c>
      <c r="I53" s="322">
        <f t="shared" si="18"/>
        <v>42000</v>
      </c>
      <c r="J53" s="322">
        <f t="shared" si="18"/>
        <v>690843.22</v>
      </c>
      <c r="K53" s="322">
        <f t="shared" si="18"/>
        <v>794753.22</v>
      </c>
    </row>
    <row r="54" spans="1:11" ht="25.5" customHeight="1" x14ac:dyDescent="0.2">
      <c r="A54" s="499" t="s">
        <v>59</v>
      </c>
      <c r="B54" s="279" t="s">
        <v>84</v>
      </c>
      <c r="C54" s="316">
        <v>7000</v>
      </c>
      <c r="D54" s="319">
        <v>0</v>
      </c>
      <c r="E54" s="313">
        <v>0</v>
      </c>
      <c r="F54" s="314">
        <v>7000</v>
      </c>
      <c r="G54" s="316">
        <v>70880</v>
      </c>
      <c r="H54" s="319">
        <v>0</v>
      </c>
      <c r="I54" s="313">
        <v>0</v>
      </c>
      <c r="J54" s="314">
        <f>G54+H54+I54</f>
        <v>70880</v>
      </c>
      <c r="K54" s="315">
        <f>J54+F54</f>
        <v>77880</v>
      </c>
    </row>
    <row r="55" spans="1:11" ht="25.5" x14ac:dyDescent="0.2">
      <c r="A55" s="500"/>
      <c r="B55" s="47" t="s">
        <v>85</v>
      </c>
      <c r="C55" s="310">
        <v>90310</v>
      </c>
      <c r="D55" s="320">
        <v>0</v>
      </c>
      <c r="E55" s="309">
        <v>0</v>
      </c>
      <c r="F55" s="311">
        <v>90310</v>
      </c>
      <c r="G55" s="310">
        <v>384344</v>
      </c>
      <c r="H55" s="320">
        <v>0</v>
      </c>
      <c r="I55" s="309">
        <v>0</v>
      </c>
      <c r="J55" s="314">
        <f t="shared" ref="J55:J63" si="19">G55+H55+I55</f>
        <v>384344</v>
      </c>
      <c r="K55" s="315">
        <f t="shared" ref="K55:K63" si="20">J55+F55</f>
        <v>474654</v>
      </c>
    </row>
    <row r="56" spans="1:11" ht="12.75" x14ac:dyDescent="0.2">
      <c r="A56" s="500"/>
      <c r="B56" s="47" t="s">
        <v>86</v>
      </c>
      <c r="C56" s="310">
        <v>3600</v>
      </c>
      <c r="D56" s="320">
        <v>0</v>
      </c>
      <c r="E56" s="309">
        <v>0</v>
      </c>
      <c r="F56" s="311">
        <v>3600</v>
      </c>
      <c r="G56" s="310">
        <v>23330</v>
      </c>
      <c r="H56" s="320">
        <v>0</v>
      </c>
      <c r="I56" s="309">
        <v>0</v>
      </c>
      <c r="J56" s="314">
        <f t="shared" si="19"/>
        <v>23330</v>
      </c>
      <c r="K56" s="315">
        <f t="shared" si="20"/>
        <v>26930</v>
      </c>
    </row>
    <row r="57" spans="1:11" ht="12.75" x14ac:dyDescent="0.2">
      <c r="A57" s="500"/>
      <c r="B57" s="47" t="s">
        <v>87</v>
      </c>
      <c r="C57" s="310">
        <v>0</v>
      </c>
      <c r="D57" s="320">
        <v>0</v>
      </c>
      <c r="E57" s="309">
        <v>0</v>
      </c>
      <c r="F57" s="311">
        <v>0</v>
      </c>
      <c r="G57" s="310">
        <v>148060</v>
      </c>
      <c r="H57" s="320">
        <v>0</v>
      </c>
      <c r="I57" s="309">
        <v>0</v>
      </c>
      <c r="J57" s="314">
        <f t="shared" si="19"/>
        <v>148060</v>
      </c>
      <c r="K57" s="315">
        <f t="shared" si="20"/>
        <v>148060</v>
      </c>
    </row>
    <row r="58" spans="1:11" ht="12.75" customHeight="1" thickBot="1" x14ac:dyDescent="0.25">
      <c r="A58" s="501"/>
      <c r="B58" s="280" t="s">
        <v>88</v>
      </c>
      <c r="C58" s="310">
        <v>3000</v>
      </c>
      <c r="D58" s="320">
        <v>0</v>
      </c>
      <c r="E58" s="309">
        <v>0</v>
      </c>
      <c r="F58" s="311">
        <v>3000</v>
      </c>
      <c r="G58" s="310">
        <v>12000</v>
      </c>
      <c r="H58" s="320">
        <v>0</v>
      </c>
      <c r="I58" s="309">
        <v>0</v>
      </c>
      <c r="J58" s="314">
        <f t="shared" si="19"/>
        <v>12000</v>
      </c>
      <c r="K58" s="315">
        <f t="shared" si="20"/>
        <v>15000</v>
      </c>
    </row>
    <row r="59" spans="1:11" ht="25.5" x14ac:dyDescent="0.2">
      <c r="A59" s="452" t="s">
        <v>76</v>
      </c>
      <c r="B59" s="278" t="s">
        <v>84</v>
      </c>
      <c r="C59" s="310">
        <v>0</v>
      </c>
      <c r="D59" s="320">
        <v>0</v>
      </c>
      <c r="E59" s="309">
        <v>0</v>
      </c>
      <c r="F59" s="311">
        <v>0</v>
      </c>
      <c r="G59" s="310">
        <v>0</v>
      </c>
      <c r="H59" s="320">
        <v>0</v>
      </c>
      <c r="I59" s="317">
        <v>0</v>
      </c>
      <c r="J59" s="314">
        <f t="shared" si="19"/>
        <v>0</v>
      </c>
      <c r="K59" s="315">
        <f t="shared" si="20"/>
        <v>0</v>
      </c>
    </row>
    <row r="60" spans="1:11" ht="25.5" x14ac:dyDescent="0.2">
      <c r="A60" s="452"/>
      <c r="B60" s="47" t="s">
        <v>85</v>
      </c>
      <c r="C60" s="310">
        <v>0</v>
      </c>
      <c r="D60" s="320">
        <v>0</v>
      </c>
      <c r="E60" s="309">
        <v>0</v>
      </c>
      <c r="F60" s="311">
        <v>0</v>
      </c>
      <c r="G60" s="310">
        <v>0</v>
      </c>
      <c r="H60" s="320">
        <v>0</v>
      </c>
      <c r="I60" s="317">
        <v>32000</v>
      </c>
      <c r="J60" s="314">
        <f t="shared" si="19"/>
        <v>32000</v>
      </c>
      <c r="K60" s="315">
        <f t="shared" si="20"/>
        <v>32000</v>
      </c>
    </row>
    <row r="61" spans="1:11" ht="12.75" x14ac:dyDescent="0.2">
      <c r="A61" s="452"/>
      <c r="B61" s="47" t="s">
        <v>86</v>
      </c>
      <c r="C61" s="310">
        <v>0</v>
      </c>
      <c r="D61" s="320">
        <v>0</v>
      </c>
      <c r="E61" s="309">
        <v>0</v>
      </c>
      <c r="F61" s="311">
        <v>0</v>
      </c>
      <c r="G61" s="310">
        <v>0</v>
      </c>
      <c r="H61" s="309">
        <f>PNUD!AO48</f>
        <v>6000</v>
      </c>
      <c r="I61" s="317">
        <v>8000</v>
      </c>
      <c r="J61" s="314">
        <f t="shared" si="19"/>
        <v>14000</v>
      </c>
      <c r="K61" s="315">
        <f t="shared" si="20"/>
        <v>14000</v>
      </c>
    </row>
    <row r="62" spans="1:11" ht="18" customHeight="1" x14ac:dyDescent="0.2">
      <c r="A62" s="452"/>
      <c r="B62" s="47" t="s">
        <v>87</v>
      </c>
      <c r="C62" s="310">
        <v>0</v>
      </c>
      <c r="D62" s="320">
        <v>0</v>
      </c>
      <c r="E62" s="309">
        <v>0</v>
      </c>
      <c r="F62" s="311">
        <v>0</v>
      </c>
      <c r="G62" s="310">
        <v>0</v>
      </c>
      <c r="H62" s="309">
        <v>0</v>
      </c>
      <c r="I62" s="317"/>
      <c r="J62" s="314">
        <f t="shared" si="19"/>
        <v>0</v>
      </c>
      <c r="K62" s="315">
        <f t="shared" si="20"/>
        <v>0</v>
      </c>
    </row>
    <row r="63" spans="1:11" ht="13.5" thickBot="1" x14ac:dyDescent="0.25">
      <c r="A63" s="452"/>
      <c r="B63" s="66" t="s">
        <v>88</v>
      </c>
      <c r="C63" s="310">
        <v>0</v>
      </c>
      <c r="D63" s="321">
        <v>0</v>
      </c>
      <c r="E63" s="309">
        <v>0</v>
      </c>
      <c r="F63" s="311">
        <v>0</v>
      </c>
      <c r="G63" s="310">
        <v>0</v>
      </c>
      <c r="H63" s="312">
        <f>PNUD!AN48</f>
        <v>4229.22</v>
      </c>
      <c r="I63" s="318">
        <v>2000</v>
      </c>
      <c r="J63" s="314">
        <f t="shared" si="19"/>
        <v>6229.22</v>
      </c>
      <c r="K63" s="315">
        <f t="shared" si="20"/>
        <v>6229.22</v>
      </c>
    </row>
    <row r="64" spans="1:11" ht="13.5" thickBot="1" x14ac:dyDescent="0.25">
      <c r="A64" s="37" t="s">
        <v>95</v>
      </c>
      <c r="B64" s="67"/>
      <c r="C64" s="59">
        <f>C53+C47+C31+C5</f>
        <v>103910</v>
      </c>
      <c r="D64" s="59">
        <f t="shared" ref="D64:K64" si="21">D53+D47+D31+D5</f>
        <v>68230</v>
      </c>
      <c r="E64" s="59">
        <f t="shared" si="21"/>
        <v>0</v>
      </c>
      <c r="F64" s="59">
        <f t="shared" si="21"/>
        <v>172140</v>
      </c>
      <c r="G64" s="59">
        <f t="shared" si="21"/>
        <v>781614</v>
      </c>
      <c r="H64" s="59">
        <f t="shared" si="21"/>
        <v>1016284.22</v>
      </c>
      <c r="I64" s="59">
        <f t="shared" si="21"/>
        <v>196374</v>
      </c>
      <c r="J64" s="59">
        <f t="shared" si="21"/>
        <v>1994272.22</v>
      </c>
      <c r="K64" s="59">
        <f t="shared" si="21"/>
        <v>2166412.2199999997</v>
      </c>
    </row>
    <row r="66" spans="1:12" ht="13.5" thickBot="1" x14ac:dyDescent="0.25">
      <c r="A66" s="10" t="s">
        <v>90</v>
      </c>
    </row>
    <row r="67" spans="1:12" ht="15" customHeight="1" x14ac:dyDescent="0.2">
      <c r="A67" s="491" t="s">
        <v>96</v>
      </c>
      <c r="B67" s="493" t="s">
        <v>80</v>
      </c>
      <c r="C67" s="478" t="s">
        <v>79</v>
      </c>
      <c r="D67" s="479"/>
      <c r="E67" s="479"/>
      <c r="F67" s="479"/>
      <c r="G67" s="495" t="s">
        <v>92</v>
      </c>
      <c r="H67" s="496"/>
      <c r="I67" s="496"/>
      <c r="J67" s="497"/>
      <c r="K67" s="489" t="s">
        <v>94</v>
      </c>
    </row>
    <row r="68" spans="1:12" ht="28.35" customHeight="1" thickBot="1" x14ac:dyDescent="0.25">
      <c r="A68" s="492"/>
      <c r="B68" s="494"/>
      <c r="C68" s="68" t="s">
        <v>81</v>
      </c>
      <c r="D68" s="60" t="s">
        <v>82</v>
      </c>
      <c r="E68" s="60" t="s">
        <v>83</v>
      </c>
      <c r="F68" s="69" t="s">
        <v>91</v>
      </c>
      <c r="G68" s="63" t="s">
        <v>81</v>
      </c>
      <c r="H68" s="42" t="s">
        <v>82</v>
      </c>
      <c r="I68" s="42" t="s">
        <v>83</v>
      </c>
      <c r="J68" s="64" t="s">
        <v>93</v>
      </c>
      <c r="K68" s="490"/>
    </row>
    <row r="69" spans="1:12" ht="25.5" x14ac:dyDescent="0.2">
      <c r="A69" s="486" t="s">
        <v>97</v>
      </c>
      <c r="B69" s="46" t="s">
        <v>84</v>
      </c>
      <c r="C69" s="41">
        <f>C6+C11+C16+C21+C26+C32+C37+C42+C48+C54+C59</f>
        <v>7000</v>
      </c>
      <c r="D69" s="41">
        <f>D6+D11+D16+D21+D26+D32+D37+D42+D48+D54+D59</f>
        <v>8350</v>
      </c>
      <c r="E69" s="41">
        <f>E6+E11+E16+E21+E26+E32+E37+E42+E48+E54+E59</f>
        <v>0</v>
      </c>
      <c r="F69" s="41">
        <f>C69+D69+E69</f>
        <v>15350</v>
      </c>
      <c r="G69" s="41">
        <f>G6+G11+G16+G21+G26+G32+G37+G42+G48+G54+G59</f>
        <v>70880</v>
      </c>
      <c r="H69" s="41">
        <f>H6+H11+H16+H21+H26+H32+H37+H42+H48+H54+H59</f>
        <v>118850</v>
      </c>
      <c r="I69" s="41">
        <f>I6+I11+I16+I21+I26+I32+I37+I42+I48+I54+I59</f>
        <v>0</v>
      </c>
      <c r="J69" s="41">
        <f>G69+H69+I69</f>
        <v>189730</v>
      </c>
      <c r="K69" s="41">
        <f>J69+F69</f>
        <v>205080</v>
      </c>
    </row>
    <row r="70" spans="1:12" ht="25.5" x14ac:dyDescent="0.2">
      <c r="A70" s="487"/>
      <c r="B70" s="47" t="s">
        <v>85</v>
      </c>
      <c r="C70" s="41">
        <f t="shared" ref="C70:E73" si="22">C7+C12+C17+C22+C27+C33+C38+C49+C55+C60</f>
        <v>90310</v>
      </c>
      <c r="D70" s="41">
        <f t="shared" si="22"/>
        <v>29880</v>
      </c>
      <c r="E70" s="41">
        <f t="shared" si="22"/>
        <v>0</v>
      </c>
      <c r="F70" s="41">
        <f t="shared" ref="F70:F73" si="23">C70+D70+E70</f>
        <v>120190</v>
      </c>
      <c r="G70" s="41">
        <f t="shared" ref="G70:H73" si="24">G7+G12+G17+G22+G27+G33+G38+G49+G55+G60</f>
        <v>420344</v>
      </c>
      <c r="H70" s="41">
        <f t="shared" si="24"/>
        <v>428630</v>
      </c>
      <c r="I70" s="41">
        <f>I7+I12+I17+I22+I27+I33+I38+I43+I49+I55+I60</f>
        <v>141000</v>
      </c>
      <c r="J70" s="41">
        <f t="shared" ref="J70:J73" si="25">G70+H70+I70</f>
        <v>989974</v>
      </c>
      <c r="K70" s="41">
        <f t="shared" ref="K70:K73" si="26">J70+F70</f>
        <v>1110164</v>
      </c>
    </row>
    <row r="71" spans="1:12" ht="12.75" x14ac:dyDescent="0.2">
      <c r="A71" s="487"/>
      <c r="B71" s="47" t="s">
        <v>86</v>
      </c>
      <c r="C71" s="41">
        <f t="shared" si="22"/>
        <v>3600</v>
      </c>
      <c r="D71" s="41">
        <f t="shared" si="22"/>
        <v>20000</v>
      </c>
      <c r="E71" s="41">
        <f t="shared" si="22"/>
        <v>0</v>
      </c>
      <c r="F71" s="41">
        <f t="shared" si="23"/>
        <v>23600</v>
      </c>
      <c r="G71" s="41">
        <f t="shared" si="24"/>
        <v>80330</v>
      </c>
      <c r="H71" s="41">
        <f t="shared" si="24"/>
        <v>392850</v>
      </c>
      <c r="I71" s="41">
        <f t="shared" ref="I71:I73" si="27">I8+I13+I18+I23+I28+I34+I39+I44+I50+I56+I61</f>
        <v>41374</v>
      </c>
      <c r="J71" s="41">
        <f t="shared" si="25"/>
        <v>514554</v>
      </c>
      <c r="K71" s="41">
        <f t="shared" si="26"/>
        <v>538154</v>
      </c>
    </row>
    <row r="72" spans="1:12" ht="12.75" x14ac:dyDescent="0.2">
      <c r="A72" s="487"/>
      <c r="B72" s="47" t="s">
        <v>87</v>
      </c>
      <c r="C72" s="41">
        <f t="shared" si="22"/>
        <v>0</v>
      </c>
      <c r="D72" s="41">
        <f t="shared" si="22"/>
        <v>0</v>
      </c>
      <c r="E72" s="41">
        <f t="shared" si="22"/>
        <v>0</v>
      </c>
      <c r="F72" s="41">
        <f t="shared" si="23"/>
        <v>0</v>
      </c>
      <c r="G72" s="41">
        <f t="shared" si="24"/>
        <v>198060</v>
      </c>
      <c r="H72" s="41">
        <f t="shared" si="24"/>
        <v>27000</v>
      </c>
      <c r="I72" s="41">
        <f t="shared" si="27"/>
        <v>5000</v>
      </c>
      <c r="J72" s="41">
        <f t="shared" si="25"/>
        <v>230060</v>
      </c>
      <c r="K72" s="41">
        <f t="shared" si="26"/>
        <v>230060</v>
      </c>
    </row>
    <row r="73" spans="1:12" ht="12.75" x14ac:dyDescent="0.2">
      <c r="A73" s="487"/>
      <c r="B73" s="47" t="s">
        <v>88</v>
      </c>
      <c r="C73" s="41">
        <f t="shared" si="22"/>
        <v>3000</v>
      </c>
      <c r="D73" s="41">
        <f t="shared" si="22"/>
        <v>10000</v>
      </c>
      <c r="E73" s="41">
        <f t="shared" si="22"/>
        <v>0</v>
      </c>
      <c r="F73" s="41">
        <f t="shared" si="23"/>
        <v>13000</v>
      </c>
      <c r="G73" s="41">
        <f t="shared" si="24"/>
        <v>12000</v>
      </c>
      <c r="H73" s="41">
        <f t="shared" si="24"/>
        <v>48954.22</v>
      </c>
      <c r="I73" s="41">
        <f t="shared" si="27"/>
        <v>9000</v>
      </c>
      <c r="J73" s="41">
        <f t="shared" si="25"/>
        <v>69954.22</v>
      </c>
      <c r="K73" s="41">
        <f t="shared" si="26"/>
        <v>82954.22</v>
      </c>
    </row>
    <row r="74" spans="1:12" ht="13.5" thickBot="1" x14ac:dyDescent="0.25">
      <c r="A74" s="488"/>
      <c r="B74" s="70" t="s">
        <v>89</v>
      </c>
      <c r="C74" s="71">
        <f t="shared" ref="C74:K74" si="28">SUM(C69:C73)</f>
        <v>103910</v>
      </c>
      <c r="D74" s="72">
        <f t="shared" si="28"/>
        <v>68230</v>
      </c>
      <c r="E74" s="72">
        <f t="shared" si="28"/>
        <v>0</v>
      </c>
      <c r="F74" s="73">
        <f t="shared" si="28"/>
        <v>172140</v>
      </c>
      <c r="G74" s="71">
        <f t="shared" si="28"/>
        <v>781614</v>
      </c>
      <c r="H74" s="74">
        <f t="shared" si="28"/>
        <v>1016284.22</v>
      </c>
      <c r="I74" s="74">
        <f t="shared" si="28"/>
        <v>196374</v>
      </c>
      <c r="J74" s="75">
        <f t="shared" si="28"/>
        <v>1994272.22</v>
      </c>
      <c r="K74" s="76">
        <f t="shared" si="28"/>
        <v>2166412.2200000002</v>
      </c>
    </row>
    <row r="75" spans="1:12" ht="12.75" customHeight="1" thickBot="1" x14ac:dyDescent="0.3">
      <c r="A75" s="77" t="s">
        <v>98</v>
      </c>
      <c r="B75" s="78"/>
      <c r="C75" s="61">
        <f>C74*0.07+11201</f>
        <v>18474.7</v>
      </c>
      <c r="D75" s="61">
        <f t="shared" ref="D75:I75" si="29">D74*0.07</f>
        <v>4776.1000000000004</v>
      </c>
      <c r="E75" s="61">
        <f t="shared" si="29"/>
        <v>0</v>
      </c>
      <c r="F75" s="61">
        <f>C75+D75+E75</f>
        <v>23250.800000000003</v>
      </c>
      <c r="G75" s="61">
        <f>G74*0.07+1180</f>
        <v>55892.98</v>
      </c>
      <c r="H75" s="61">
        <f t="shared" si="29"/>
        <v>71139.895400000009</v>
      </c>
      <c r="I75" s="61">
        <f t="shared" si="29"/>
        <v>13746.180000000002</v>
      </c>
      <c r="J75" s="61">
        <f>G75+H75+I75</f>
        <v>140779.05540000001</v>
      </c>
      <c r="K75" s="65">
        <f>J75+F75</f>
        <v>164029.8554</v>
      </c>
      <c r="L75" s="330" t="s">
        <v>234</v>
      </c>
    </row>
    <row r="76" spans="1:12" ht="13.5" thickBot="1" x14ac:dyDescent="0.25">
      <c r="A76" s="502" t="s">
        <v>94</v>
      </c>
      <c r="B76" s="503"/>
      <c r="C76" s="62">
        <f>C75+C74</f>
        <v>122384.7</v>
      </c>
      <c r="D76" s="62">
        <f t="shared" ref="D76:K76" si="30">D75+D74</f>
        <v>73006.100000000006</v>
      </c>
      <c r="E76" s="62">
        <f t="shared" si="30"/>
        <v>0</v>
      </c>
      <c r="F76" s="62">
        <f t="shared" si="30"/>
        <v>195390.8</v>
      </c>
      <c r="G76" s="62">
        <f t="shared" si="30"/>
        <v>837506.98</v>
      </c>
      <c r="H76" s="62">
        <f t="shared" si="30"/>
        <v>1087424.1154</v>
      </c>
      <c r="I76" s="62">
        <f t="shared" si="30"/>
        <v>210120.18</v>
      </c>
      <c r="J76" s="62">
        <f t="shared" si="30"/>
        <v>2135051.2754000002</v>
      </c>
      <c r="K76" s="62">
        <f t="shared" si="30"/>
        <v>2330442.0754000004</v>
      </c>
    </row>
    <row r="78" spans="1:12" ht="25.9" customHeight="1" x14ac:dyDescent="0.25">
      <c r="A78" s="483" t="s">
        <v>232</v>
      </c>
      <c r="B78" s="483"/>
      <c r="C78" s="483"/>
      <c r="D78" s="325"/>
      <c r="E78" s="325"/>
      <c r="F78" s="323"/>
      <c r="G78" s="323"/>
    </row>
    <row r="79" spans="1:12" x14ac:dyDescent="0.25">
      <c r="A79" s="324" t="s">
        <v>233</v>
      </c>
      <c r="B79" s="326"/>
      <c r="C79" s="326"/>
      <c r="D79" s="325"/>
      <c r="E79" s="325"/>
      <c r="F79" s="323"/>
      <c r="G79" s="323"/>
    </row>
    <row r="80" spans="1:12" hidden="1" x14ac:dyDescent="0.25">
      <c r="C80" s="38" t="s">
        <v>276</v>
      </c>
      <c r="D80" s="38" t="s">
        <v>89</v>
      </c>
    </row>
    <row r="81" spans="2:4" hidden="1" x14ac:dyDescent="0.25">
      <c r="B81" s="38" t="s">
        <v>235</v>
      </c>
      <c r="C81" s="38">
        <f>E74+I74</f>
        <v>196374</v>
      </c>
      <c r="D81" s="38">
        <f>E76+I76</f>
        <v>210120.18</v>
      </c>
    </row>
    <row r="82" spans="2:4" hidden="1" x14ac:dyDescent="0.25">
      <c r="B82" s="38" t="s">
        <v>236</v>
      </c>
      <c r="C82" s="38">
        <f>C74+G74</f>
        <v>885524</v>
      </c>
      <c r="D82" s="38">
        <f>C76+G76</f>
        <v>959891.67999999993</v>
      </c>
    </row>
    <row r="83" spans="2:4" hidden="1" x14ac:dyDescent="0.25">
      <c r="B83" s="38" t="s">
        <v>136</v>
      </c>
      <c r="C83" s="38">
        <f>D74+H74</f>
        <v>1084514.22</v>
      </c>
      <c r="D83" s="38">
        <f>D76+H76</f>
        <v>1160430.2154000001</v>
      </c>
    </row>
    <row r="84" spans="2:4" hidden="1" x14ac:dyDescent="0.25">
      <c r="D84" s="38">
        <f>SUM(D81:D83)</f>
        <v>2330442.0754</v>
      </c>
    </row>
  </sheetData>
  <mergeCells count="28">
    <mergeCell ref="A78:C78"/>
    <mergeCell ref="K3:K4"/>
    <mergeCell ref="A69:A74"/>
    <mergeCell ref="K67:K68"/>
    <mergeCell ref="A67:A68"/>
    <mergeCell ref="B67:B68"/>
    <mergeCell ref="C67:F67"/>
    <mergeCell ref="G67:J67"/>
    <mergeCell ref="A48:A52"/>
    <mergeCell ref="A54:A58"/>
    <mergeCell ref="A59:A63"/>
    <mergeCell ref="A42:A46"/>
    <mergeCell ref="A76:B76"/>
    <mergeCell ref="A3:A4"/>
    <mergeCell ref="B3:B4"/>
    <mergeCell ref="G3:J3"/>
    <mergeCell ref="C3:F3"/>
    <mergeCell ref="A21:A25"/>
    <mergeCell ref="A26:A30"/>
    <mergeCell ref="A32:A36"/>
    <mergeCell ref="A16:A20"/>
    <mergeCell ref="A5:B5"/>
    <mergeCell ref="A31:B31"/>
    <mergeCell ref="A47:B47"/>
    <mergeCell ref="A37:A41"/>
    <mergeCell ref="A6:A10"/>
    <mergeCell ref="A11:A15"/>
    <mergeCell ref="A53:B53"/>
  </mergeCells>
  <pageMargins left="0.7" right="0.7" top="0.75" bottom="0.75" header="0.3" footer="0.3"/>
  <pageSetup orientation="portrait" verticalDpi="0" r:id="rId1"/>
  <ignoredErrors>
    <ignoredError sqref="F69:F73 J69:J7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zoomScaleNormal="100" zoomScalePageLayoutView="150" workbookViewId="0">
      <pane ySplit="4" topLeftCell="A17" activePane="bottomLeft" state="frozen"/>
      <selection pane="bottomLeft" activeCell="A3" sqref="A3:D22"/>
    </sheetView>
  </sheetViews>
  <sheetFormatPr defaultColWidth="11.42578125" defaultRowHeight="15" x14ac:dyDescent="0.25"/>
  <cols>
    <col min="1" max="1" width="56.140625" style="323" customWidth="1"/>
    <col min="2" max="2" width="11.5703125" style="323" customWidth="1"/>
    <col min="3" max="3" width="13" style="323" customWidth="1"/>
    <col min="4" max="4" width="11.5703125" style="323" customWidth="1"/>
    <col min="5" max="5" width="6.28515625" style="323" customWidth="1"/>
    <col min="6" max="6" width="5.28515625" style="323" customWidth="1"/>
    <col min="7" max="16384" width="11.42578125" style="323"/>
  </cols>
  <sheetData>
    <row r="1" spans="1:6" x14ac:dyDescent="0.25">
      <c r="A1" s="504" t="s">
        <v>0</v>
      </c>
      <c r="B1" s="414"/>
      <c r="C1" s="414"/>
      <c r="D1" s="414"/>
    </row>
    <row r="2" spans="1:6" ht="15" customHeight="1" x14ac:dyDescent="0.25">
      <c r="A2" s="505" t="s">
        <v>277</v>
      </c>
      <c r="B2" s="506"/>
      <c r="C2" s="506"/>
      <c r="D2" s="506"/>
    </row>
    <row r="3" spans="1:6" ht="15" customHeight="1" x14ac:dyDescent="0.25">
      <c r="A3" s="507" t="s">
        <v>278</v>
      </c>
      <c r="B3" s="509" t="s">
        <v>279</v>
      </c>
      <c r="C3" s="510"/>
      <c r="D3" s="511" t="s">
        <v>117</v>
      </c>
    </row>
    <row r="4" spans="1:6" ht="15.75" thickBot="1" x14ac:dyDescent="0.3">
      <c r="A4" s="508"/>
      <c r="B4" s="9">
        <v>2013</v>
      </c>
      <c r="C4" s="217" t="s">
        <v>273</v>
      </c>
      <c r="D4" s="511"/>
    </row>
    <row r="5" spans="1:6" ht="32.25" customHeight="1" x14ac:dyDescent="0.25">
      <c r="A5" s="333" t="s">
        <v>176</v>
      </c>
      <c r="B5" s="261">
        <f>Presupuesto!B6</f>
        <v>68230</v>
      </c>
      <c r="C5" s="261">
        <f>Presupuesto!C6</f>
        <v>1157429</v>
      </c>
      <c r="D5" s="261">
        <f>Presupuesto!D6</f>
        <v>1225659</v>
      </c>
      <c r="F5" s="218"/>
    </row>
    <row r="6" spans="1:6" s="220" customFormat="1" ht="25.5" customHeight="1" x14ac:dyDescent="0.25">
      <c r="A6" s="355" t="s">
        <v>151</v>
      </c>
      <c r="B6" s="356">
        <f>Presupuesto!B7</f>
        <v>49480</v>
      </c>
      <c r="C6" s="356">
        <f>Presupuesto!C7</f>
        <v>0</v>
      </c>
      <c r="D6" s="356">
        <f>Presupuesto!D7</f>
        <v>49480</v>
      </c>
    </row>
    <row r="7" spans="1:6" s="220" customFormat="1" ht="43.5" customHeight="1" x14ac:dyDescent="0.25">
      <c r="A7" s="357" t="s">
        <v>152</v>
      </c>
      <c r="B7" s="356">
        <f>Presupuesto!B9</f>
        <v>0</v>
      </c>
      <c r="C7" s="356">
        <f>Presupuesto!C9</f>
        <v>642539</v>
      </c>
      <c r="D7" s="356">
        <f>Presupuesto!D9</f>
        <v>642539</v>
      </c>
    </row>
    <row r="8" spans="1:6" s="220" customFormat="1" ht="42" customHeight="1" x14ac:dyDescent="0.25">
      <c r="A8" s="358" t="s">
        <v>153</v>
      </c>
      <c r="B8" s="356">
        <f>Presupuesto!B21</f>
        <v>0</v>
      </c>
      <c r="C8" s="356">
        <f>Presupuesto!C21</f>
        <v>25500</v>
      </c>
      <c r="D8" s="356">
        <f>Presupuesto!D21</f>
        <v>25500</v>
      </c>
    </row>
    <row r="9" spans="1:6" s="220" customFormat="1" ht="41.25" customHeight="1" x14ac:dyDescent="0.25">
      <c r="A9" s="355" t="s">
        <v>173</v>
      </c>
      <c r="B9" s="356">
        <f>Presupuesto!B25</f>
        <v>0</v>
      </c>
      <c r="C9" s="356">
        <f>Presupuesto!C25</f>
        <v>78050</v>
      </c>
      <c r="D9" s="356">
        <f>Presupuesto!D25</f>
        <v>78050</v>
      </c>
    </row>
    <row r="10" spans="1:6" s="220" customFormat="1" ht="30.75" customHeight="1" x14ac:dyDescent="0.25">
      <c r="A10" s="355" t="s">
        <v>174</v>
      </c>
      <c r="B10" s="356">
        <f>Presupuesto!B30</f>
        <v>18750</v>
      </c>
      <c r="C10" s="356">
        <f>Presupuesto!C30</f>
        <v>411340</v>
      </c>
      <c r="D10" s="356">
        <f>Presupuesto!D30</f>
        <v>430090</v>
      </c>
    </row>
    <row r="11" spans="1:6" ht="31.7" customHeight="1" x14ac:dyDescent="0.25">
      <c r="A11" s="333" t="s">
        <v>175</v>
      </c>
      <c r="B11" s="261">
        <f>Presupuesto!B33</f>
        <v>0</v>
      </c>
      <c r="C11" s="261">
        <f>Presupuesto!C33</f>
        <v>92000</v>
      </c>
      <c r="D11" s="261">
        <f>Presupuesto!D33</f>
        <v>92000</v>
      </c>
    </row>
    <row r="12" spans="1:6" s="220" customFormat="1" ht="40.700000000000003" customHeight="1" x14ac:dyDescent="0.25">
      <c r="A12" s="359" t="s">
        <v>50</v>
      </c>
      <c r="B12" s="356">
        <f>Presupuesto!B34</f>
        <v>0</v>
      </c>
      <c r="C12" s="356">
        <f>Presupuesto!C34</f>
        <v>12000</v>
      </c>
      <c r="D12" s="356">
        <f>Presupuesto!D34</f>
        <v>12000</v>
      </c>
    </row>
    <row r="13" spans="1:6" s="220" customFormat="1" ht="42" customHeight="1" x14ac:dyDescent="0.25">
      <c r="A13" s="355" t="s">
        <v>78</v>
      </c>
      <c r="B13" s="356">
        <f>Presupuesto!B39</f>
        <v>0</v>
      </c>
      <c r="C13" s="356">
        <f>Presupuesto!C39</f>
        <v>40000</v>
      </c>
      <c r="D13" s="356">
        <f>Presupuesto!D39</f>
        <v>40000</v>
      </c>
    </row>
    <row r="14" spans="1:6" s="220" customFormat="1" ht="25.15" customHeight="1" x14ac:dyDescent="0.25">
      <c r="A14" s="357" t="s">
        <v>187</v>
      </c>
      <c r="B14" s="356">
        <f>Presupuesto!B43</f>
        <v>0</v>
      </c>
      <c r="C14" s="356">
        <f>Presupuesto!C43</f>
        <v>40000</v>
      </c>
      <c r="D14" s="356">
        <f>Presupuesto!D43</f>
        <v>40000</v>
      </c>
    </row>
    <row r="15" spans="1:6" ht="48" customHeight="1" x14ac:dyDescent="0.25">
      <c r="A15" s="333" t="s">
        <v>290</v>
      </c>
      <c r="B15" s="261">
        <f>Presupuesto!B46</f>
        <v>0</v>
      </c>
      <c r="C15" s="261">
        <f>Presupuesto!C46</f>
        <v>54000</v>
      </c>
      <c r="D15" s="261">
        <f>Presupuesto!D46</f>
        <v>54000</v>
      </c>
    </row>
    <row r="16" spans="1:6" s="220" customFormat="1" ht="40.700000000000003" customHeight="1" x14ac:dyDescent="0.25">
      <c r="A16" s="360" t="s">
        <v>195</v>
      </c>
      <c r="B16" s="356">
        <f>Presupuesto!B47</f>
        <v>0</v>
      </c>
      <c r="C16" s="356">
        <f>Presupuesto!C47</f>
        <v>54000</v>
      </c>
      <c r="D16" s="356">
        <f>Presupuesto!D47</f>
        <v>54000</v>
      </c>
    </row>
    <row r="17" spans="1:7" ht="54.75" customHeight="1" x14ac:dyDescent="0.25">
      <c r="A17" s="332" t="s">
        <v>226</v>
      </c>
      <c r="B17" s="261">
        <f>Presupuesto!B52</f>
        <v>103910</v>
      </c>
      <c r="C17" s="261">
        <f>Presupuesto!C52</f>
        <v>690843.22</v>
      </c>
      <c r="D17" s="261">
        <f>Presupuesto!D52</f>
        <v>794753.22</v>
      </c>
    </row>
    <row r="18" spans="1:7" s="220" customFormat="1" ht="47.25" customHeight="1" x14ac:dyDescent="0.25">
      <c r="A18" s="355" t="s">
        <v>59</v>
      </c>
      <c r="B18" s="356">
        <f>Presupuesto!B53</f>
        <v>103910</v>
      </c>
      <c r="C18" s="356">
        <f>Presupuesto!C53</f>
        <v>638614</v>
      </c>
      <c r="D18" s="356">
        <f>Presupuesto!D53</f>
        <v>742524</v>
      </c>
    </row>
    <row r="19" spans="1:7" s="220" customFormat="1" ht="31.7" customHeight="1" x14ac:dyDescent="0.25">
      <c r="A19" s="355" t="s">
        <v>76</v>
      </c>
      <c r="B19" s="356">
        <f>Presupuesto!B70</f>
        <v>0</v>
      </c>
      <c r="C19" s="356">
        <f>Presupuesto!C70</f>
        <v>52229.22</v>
      </c>
      <c r="D19" s="356">
        <f>Presupuesto!D70</f>
        <v>52229.22</v>
      </c>
      <c r="E19" s="361"/>
    </row>
    <row r="20" spans="1:7" ht="13.9" customHeight="1" x14ac:dyDescent="0.25">
      <c r="A20" s="331" t="s">
        <v>225</v>
      </c>
      <c r="B20" s="356">
        <f>Presupuesto!B75</f>
        <v>172140</v>
      </c>
      <c r="C20" s="356">
        <f>Presupuesto!C75</f>
        <v>1994272.22</v>
      </c>
      <c r="D20" s="356">
        <f>Presupuesto!D75</f>
        <v>2166412.2199999997</v>
      </c>
      <c r="E20" s="154"/>
      <c r="G20" s="218" t="s">
        <v>90</v>
      </c>
    </row>
    <row r="21" spans="1:7" ht="30.6" customHeight="1" x14ac:dyDescent="0.25">
      <c r="A21" s="260" t="s">
        <v>251</v>
      </c>
      <c r="B21" s="356">
        <f>Presupuesto!B76</f>
        <v>23250.800000000003</v>
      </c>
      <c r="C21" s="356">
        <f>Presupuesto!C76</f>
        <v>140779.05540000001</v>
      </c>
      <c r="D21" s="356">
        <f>Presupuesto!D76</f>
        <v>164029.8554</v>
      </c>
      <c r="E21" s="225"/>
      <c r="F21" s="225" t="s">
        <v>90</v>
      </c>
    </row>
    <row r="22" spans="1:7" ht="28.9" customHeight="1" x14ac:dyDescent="0.25">
      <c r="A22" s="260" t="s">
        <v>117</v>
      </c>
      <c r="B22" s="356">
        <f>Presupuesto!B77</f>
        <v>195390.8</v>
      </c>
      <c r="C22" s="356">
        <f>Presupuesto!C77</f>
        <v>2135051.2754000002</v>
      </c>
      <c r="D22" s="356">
        <f>Presupuesto!D77</f>
        <v>2330442.0753999995</v>
      </c>
    </row>
    <row r="23" spans="1:7" x14ac:dyDescent="0.25">
      <c r="C23" s="121"/>
      <c r="D23" s="212"/>
      <c r="E23" s="212"/>
    </row>
    <row r="25" spans="1:7" x14ac:dyDescent="0.25">
      <c r="A25" s="240"/>
    </row>
    <row r="26" spans="1:7" x14ac:dyDescent="0.25">
      <c r="A26" s="346"/>
    </row>
    <row r="27" spans="1:7" x14ac:dyDescent="0.25">
      <c r="A27" s="254"/>
    </row>
    <row r="28" spans="1:7" x14ac:dyDescent="0.25">
      <c r="A28" s="238"/>
    </row>
    <row r="29" spans="1:7" x14ac:dyDescent="0.25">
      <c r="A29" s="324"/>
    </row>
  </sheetData>
  <mergeCells count="5">
    <mergeCell ref="A1:D1"/>
    <mergeCell ref="A2:D2"/>
    <mergeCell ref="A3:A4"/>
    <mergeCell ref="B3:C3"/>
    <mergeCell ref="D3:D4"/>
  </mergeCells>
  <pageMargins left="0.7" right="0.7" top="0.75" bottom="0.75" header="0.3" footer="0.3"/>
  <pageSetup scale="38"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80"/>
  <sheetViews>
    <sheetView zoomScale="70" zoomScaleNormal="70" workbookViewId="0">
      <pane xSplit="2" ySplit="2" topLeftCell="AI7" activePane="bottomRight" state="frozen"/>
      <selection pane="topRight" activeCell="C1" sqref="C1"/>
      <selection pane="bottomLeft" activeCell="A3" sqref="A3"/>
      <selection pane="bottomRight" activeCell="AK12" sqref="AK12"/>
    </sheetView>
  </sheetViews>
  <sheetFormatPr defaultColWidth="9.140625" defaultRowHeight="15" x14ac:dyDescent="0.25"/>
  <cols>
    <col min="1" max="1" width="56.140625" customWidth="1"/>
    <col min="2" max="2" width="46.140625" customWidth="1"/>
    <col min="3" max="3" width="4.42578125" customWidth="1"/>
    <col min="4" max="4" width="9.28515625" customWidth="1"/>
    <col min="5" max="5" width="12.7109375" customWidth="1"/>
    <col min="6" max="6" width="11.140625" customWidth="1"/>
    <col min="7" max="7" width="12" customWidth="1"/>
    <col min="8" max="13" width="9.28515625" customWidth="1"/>
    <col min="14" max="14" width="11.140625" customWidth="1"/>
    <col min="15" max="19" width="9.28515625" customWidth="1"/>
    <col min="20" max="20" width="13.42578125" customWidth="1"/>
    <col min="21" max="21" width="12.42578125" customWidth="1"/>
    <col min="22" max="22" width="15" customWidth="1"/>
    <col min="23" max="23" width="4.5703125" customWidth="1"/>
    <col min="24" max="24" width="12.42578125" bestFit="1" customWidth="1"/>
    <col min="25" max="25" width="14.42578125" customWidth="1"/>
    <col min="26" max="26" width="13.42578125" customWidth="1"/>
    <col min="27" max="27" width="13.140625" customWidth="1"/>
    <col min="28" max="28" width="10.7109375" bestFit="1" customWidth="1"/>
    <col min="29" max="29" width="11.28515625" customWidth="1"/>
    <col min="30" max="31" width="9.28515625" bestFit="1" customWidth="1"/>
    <col min="32" max="32" width="14" customWidth="1"/>
    <col min="33" max="33" width="11.140625" bestFit="1" customWidth="1"/>
    <col min="34" max="34" width="12.42578125" bestFit="1" customWidth="1"/>
    <col min="35" max="37" width="9.28515625" bestFit="1" customWidth="1"/>
    <col min="38" max="38" width="12.42578125" bestFit="1" customWidth="1"/>
    <col min="39" max="39" width="12" bestFit="1" customWidth="1"/>
    <col min="40" max="40" width="13.5703125" customWidth="1"/>
    <col min="41" max="41" width="13.5703125" bestFit="1" customWidth="1"/>
    <col min="42" max="42" width="15.140625" customWidth="1"/>
    <col min="43" max="43" width="16.5703125" customWidth="1"/>
    <col min="45" max="45" width="12.5703125" customWidth="1"/>
    <col min="46" max="46" width="10.28515625" bestFit="1" customWidth="1"/>
  </cols>
  <sheetData>
    <row r="1" spans="1:46" x14ac:dyDescent="0.25">
      <c r="C1" s="79"/>
      <c r="D1" s="80"/>
      <c r="E1" s="80"/>
      <c r="F1" s="89" t="s">
        <v>85</v>
      </c>
      <c r="G1" s="89"/>
      <c r="H1" s="81" t="s">
        <v>87</v>
      </c>
      <c r="I1" s="95" t="s">
        <v>84</v>
      </c>
      <c r="J1" s="95"/>
      <c r="K1" s="95"/>
      <c r="L1" s="95"/>
      <c r="M1" s="95"/>
      <c r="N1" s="95"/>
      <c r="O1" s="95"/>
      <c r="P1" s="95"/>
      <c r="Q1" s="95"/>
      <c r="R1" s="81" t="s">
        <v>87</v>
      </c>
      <c r="S1" s="81" t="s">
        <v>87</v>
      </c>
      <c r="T1" s="82" t="s">
        <v>99</v>
      </c>
      <c r="U1" s="83" t="s">
        <v>101</v>
      </c>
      <c r="V1" s="79"/>
      <c r="W1" s="79"/>
      <c r="X1" s="80"/>
      <c r="Y1" s="80"/>
      <c r="Z1" s="89" t="s">
        <v>85</v>
      </c>
      <c r="AA1" s="89"/>
      <c r="AB1" s="81" t="s">
        <v>87</v>
      </c>
      <c r="AC1" s="95" t="s">
        <v>84</v>
      </c>
      <c r="AD1" s="95"/>
      <c r="AE1" s="95"/>
      <c r="AF1" s="95"/>
      <c r="AG1" s="95"/>
      <c r="AH1" s="95"/>
      <c r="AI1" s="95"/>
      <c r="AJ1" s="95"/>
      <c r="AK1" s="95"/>
      <c r="AL1" s="81" t="s">
        <v>87</v>
      </c>
      <c r="AM1" s="81" t="s">
        <v>87</v>
      </c>
      <c r="AN1" s="82" t="s">
        <v>99</v>
      </c>
      <c r="AO1" s="83" t="s">
        <v>101</v>
      </c>
      <c r="AP1" s="79"/>
    </row>
    <row r="2" spans="1:46" ht="15.75" thickBot="1" x14ac:dyDescent="0.3">
      <c r="C2" s="84"/>
      <c r="D2" s="85"/>
      <c r="E2" s="85"/>
      <c r="F2" s="85"/>
      <c r="G2" s="85"/>
      <c r="H2" s="86"/>
      <c r="I2" s="96"/>
      <c r="J2" s="96"/>
      <c r="K2" s="96"/>
      <c r="L2" s="96"/>
      <c r="M2" s="96"/>
      <c r="N2" s="96"/>
      <c r="O2" s="96"/>
      <c r="P2" s="96"/>
      <c r="Q2" s="96"/>
      <c r="R2" s="86"/>
      <c r="S2" s="86"/>
      <c r="T2" s="87" t="s">
        <v>90</v>
      </c>
      <c r="U2" s="88"/>
      <c r="V2" s="84"/>
      <c r="W2" s="84"/>
      <c r="X2" s="85"/>
      <c r="Y2" s="85"/>
      <c r="Z2" s="85"/>
      <c r="AA2" s="85"/>
      <c r="AB2" s="86"/>
      <c r="AC2" s="96"/>
      <c r="AD2" s="96"/>
      <c r="AE2" s="96"/>
      <c r="AF2" s="96"/>
      <c r="AG2" s="96"/>
      <c r="AH2" s="96"/>
      <c r="AI2" s="96"/>
      <c r="AJ2" s="96"/>
      <c r="AK2" s="96"/>
      <c r="AL2" s="86"/>
      <c r="AM2" s="86"/>
      <c r="AN2" s="87" t="s">
        <v>90</v>
      </c>
      <c r="AO2" s="88"/>
      <c r="AP2" s="84"/>
    </row>
    <row r="3" spans="1:46" x14ac:dyDescent="0.25">
      <c r="A3" s="512" t="s">
        <v>34</v>
      </c>
      <c r="B3" s="513" t="s">
        <v>1</v>
      </c>
      <c r="C3" s="90" t="s">
        <v>100</v>
      </c>
      <c r="D3" s="91"/>
      <c r="E3" s="92"/>
      <c r="F3" s="92"/>
      <c r="G3" s="92"/>
      <c r="H3" s="92"/>
      <c r="I3" s="92"/>
      <c r="J3" s="92"/>
      <c r="K3" s="92"/>
      <c r="L3" s="92"/>
      <c r="M3" s="92"/>
      <c r="N3" s="92"/>
      <c r="O3" s="92"/>
      <c r="P3" s="92"/>
      <c r="Q3" s="92"/>
      <c r="R3" s="92"/>
      <c r="S3" s="92"/>
      <c r="T3" s="92"/>
      <c r="U3" s="92"/>
      <c r="V3" s="104" t="s">
        <v>91</v>
      </c>
      <c r="W3" s="90" t="s">
        <v>102</v>
      </c>
      <c r="X3" s="91"/>
      <c r="Y3" s="92"/>
      <c r="Z3" s="92"/>
      <c r="AA3" s="92"/>
      <c r="AB3" s="92"/>
      <c r="AC3" s="92"/>
      <c r="AD3" s="92"/>
      <c r="AE3" s="92"/>
      <c r="AF3" s="92"/>
      <c r="AG3" s="92"/>
      <c r="AH3" s="92"/>
      <c r="AI3" s="92"/>
      <c r="AJ3" s="92"/>
      <c r="AK3" s="92"/>
      <c r="AL3" s="92"/>
      <c r="AM3" s="92"/>
      <c r="AN3" s="92"/>
      <c r="AO3" s="92"/>
      <c r="AP3" s="106" t="s">
        <v>93</v>
      </c>
      <c r="AQ3" s="107" t="s">
        <v>106</v>
      </c>
    </row>
    <row r="4" spans="1:46" ht="18.75" customHeight="1" thickBot="1" x14ac:dyDescent="0.3">
      <c r="A4" s="508"/>
      <c r="B4" s="514"/>
      <c r="C4" s="93"/>
      <c r="D4" s="94">
        <v>71200</v>
      </c>
      <c r="E4" s="94">
        <v>71300</v>
      </c>
      <c r="F4" s="94">
        <v>71400</v>
      </c>
      <c r="G4" s="94">
        <v>71600</v>
      </c>
      <c r="H4" s="94">
        <v>72100</v>
      </c>
      <c r="I4" s="94">
        <v>72200</v>
      </c>
      <c r="J4" s="94">
        <v>72300</v>
      </c>
      <c r="K4" s="94">
        <v>72400</v>
      </c>
      <c r="L4" s="94">
        <v>72500</v>
      </c>
      <c r="M4" s="94">
        <v>72800</v>
      </c>
      <c r="N4" s="94">
        <v>73100</v>
      </c>
      <c r="O4" s="94">
        <v>73300</v>
      </c>
      <c r="P4" s="94">
        <v>73400</v>
      </c>
      <c r="Q4" s="94">
        <v>73500</v>
      </c>
      <c r="R4" s="94">
        <v>74100</v>
      </c>
      <c r="S4" s="94">
        <v>74200</v>
      </c>
      <c r="T4" s="94">
        <v>74500</v>
      </c>
      <c r="U4" s="94">
        <v>75700</v>
      </c>
      <c r="V4" s="105"/>
      <c r="W4" s="93"/>
      <c r="X4" s="94">
        <v>71200</v>
      </c>
      <c r="Y4" s="94">
        <v>71300</v>
      </c>
      <c r="Z4" s="94">
        <v>71400</v>
      </c>
      <c r="AA4" s="94">
        <v>71600</v>
      </c>
      <c r="AB4" s="94">
        <v>72100</v>
      </c>
      <c r="AC4" s="94">
        <v>72200</v>
      </c>
      <c r="AD4" s="94">
        <v>72300</v>
      </c>
      <c r="AE4" s="94">
        <v>72400</v>
      </c>
      <c r="AF4" s="94">
        <v>72500</v>
      </c>
      <c r="AG4" s="94">
        <v>72800</v>
      </c>
      <c r="AH4" s="94">
        <v>73100</v>
      </c>
      <c r="AI4" s="94">
        <v>73300</v>
      </c>
      <c r="AJ4" s="94">
        <v>73400</v>
      </c>
      <c r="AK4" s="94">
        <v>73500</v>
      </c>
      <c r="AL4" s="94">
        <v>74100</v>
      </c>
      <c r="AM4" s="94">
        <v>74200</v>
      </c>
      <c r="AN4" s="94">
        <v>74500</v>
      </c>
      <c r="AO4" s="94">
        <v>75700</v>
      </c>
      <c r="AP4" s="93"/>
      <c r="AQ4" s="108"/>
    </row>
    <row r="5" spans="1:46" ht="27.75" customHeight="1" x14ac:dyDescent="0.25">
      <c r="A5" s="515" t="s">
        <v>176</v>
      </c>
      <c r="B5" s="516"/>
      <c r="C5" s="98"/>
      <c r="D5" s="122">
        <f t="shared" ref="D5:U5" si="0">D6+D8+D21+D25+D30</f>
        <v>0</v>
      </c>
      <c r="E5" s="122">
        <f t="shared" si="0"/>
        <v>15600</v>
      </c>
      <c r="F5" s="122">
        <f t="shared" si="0"/>
        <v>5200</v>
      </c>
      <c r="G5" s="122">
        <f t="shared" si="0"/>
        <v>9080</v>
      </c>
      <c r="H5" s="122">
        <f t="shared" si="0"/>
        <v>0</v>
      </c>
      <c r="I5" s="122">
        <f t="shared" si="0"/>
        <v>0</v>
      </c>
      <c r="J5" s="122">
        <f t="shared" si="0"/>
        <v>0</v>
      </c>
      <c r="K5" s="122">
        <f t="shared" si="0"/>
        <v>0</v>
      </c>
      <c r="L5" s="122">
        <f t="shared" si="0"/>
        <v>0</v>
      </c>
      <c r="M5" s="122">
        <f t="shared" si="0"/>
        <v>0</v>
      </c>
      <c r="N5" s="122">
        <f t="shared" si="0"/>
        <v>8350</v>
      </c>
      <c r="O5" s="122">
        <f t="shared" si="0"/>
        <v>0</v>
      </c>
      <c r="P5" s="122">
        <f t="shared" si="0"/>
        <v>0</v>
      </c>
      <c r="Q5" s="122">
        <f t="shared" si="0"/>
        <v>0</v>
      </c>
      <c r="R5" s="122">
        <f t="shared" si="0"/>
        <v>0</v>
      </c>
      <c r="S5" s="122">
        <f t="shared" si="0"/>
        <v>0</v>
      </c>
      <c r="T5" s="122">
        <f t="shared" si="0"/>
        <v>10000</v>
      </c>
      <c r="U5" s="122">
        <f t="shared" si="0"/>
        <v>20000</v>
      </c>
      <c r="V5" s="123">
        <f>SUM(D5:U5)</f>
        <v>68230</v>
      </c>
      <c r="W5" s="122"/>
      <c r="X5" s="122">
        <f t="shared" ref="X5:AO5" si="1">X6+X8+X21+X25+X30</f>
        <v>69600</v>
      </c>
      <c r="Y5" s="122">
        <f t="shared" si="1"/>
        <v>141640</v>
      </c>
      <c r="Z5" s="122">
        <f t="shared" si="1"/>
        <v>112800</v>
      </c>
      <c r="AA5" s="122">
        <f t="shared" si="1"/>
        <v>104590</v>
      </c>
      <c r="AB5" s="122">
        <f t="shared" si="1"/>
        <v>10000</v>
      </c>
      <c r="AC5" s="122">
        <f t="shared" si="1"/>
        <v>4500</v>
      </c>
      <c r="AD5" s="122">
        <f t="shared" si="1"/>
        <v>0</v>
      </c>
      <c r="AE5" s="122">
        <f t="shared" si="1"/>
        <v>0</v>
      </c>
      <c r="AF5" s="122">
        <f t="shared" si="1"/>
        <v>45750</v>
      </c>
      <c r="AG5" s="122">
        <f t="shared" si="1"/>
        <v>14200</v>
      </c>
      <c r="AH5" s="122">
        <f t="shared" si="1"/>
        <v>54400</v>
      </c>
      <c r="AI5" s="122">
        <f t="shared" si="1"/>
        <v>0</v>
      </c>
      <c r="AJ5" s="122">
        <f t="shared" si="1"/>
        <v>0</v>
      </c>
      <c r="AK5" s="122">
        <f t="shared" si="1"/>
        <v>0</v>
      </c>
      <c r="AL5" s="122">
        <f t="shared" si="1"/>
        <v>0</v>
      </c>
      <c r="AM5" s="122">
        <f t="shared" si="1"/>
        <v>17000</v>
      </c>
      <c r="AN5" s="122">
        <f t="shared" si="1"/>
        <v>44725</v>
      </c>
      <c r="AO5" s="122">
        <f t="shared" si="1"/>
        <v>386850</v>
      </c>
      <c r="AP5" s="123">
        <f>SUM(X5:AO5)</f>
        <v>1006055</v>
      </c>
      <c r="AQ5" s="124">
        <f>AP5+V5</f>
        <v>1074285</v>
      </c>
    </row>
    <row r="6" spans="1:46" ht="30" customHeight="1" x14ac:dyDescent="0.25">
      <c r="A6" s="519" t="s">
        <v>151</v>
      </c>
      <c r="B6" s="520"/>
      <c r="C6" s="99"/>
      <c r="D6" s="125">
        <f t="shared" ref="D6:U6" si="2">SUM(D7:D7)</f>
        <v>0</v>
      </c>
      <c r="E6" s="125">
        <f t="shared" si="2"/>
        <v>12000</v>
      </c>
      <c r="F6" s="125">
        <f t="shared" si="2"/>
        <v>0</v>
      </c>
      <c r="G6" s="125">
        <f t="shared" si="2"/>
        <v>7680</v>
      </c>
      <c r="H6" s="125">
        <f t="shared" si="2"/>
        <v>0</v>
      </c>
      <c r="I6" s="125">
        <f t="shared" si="2"/>
        <v>0</v>
      </c>
      <c r="J6" s="125">
        <f t="shared" si="2"/>
        <v>0</v>
      </c>
      <c r="K6" s="125">
        <f t="shared" si="2"/>
        <v>0</v>
      </c>
      <c r="L6" s="125">
        <f t="shared" si="2"/>
        <v>0</v>
      </c>
      <c r="M6" s="125">
        <f t="shared" si="2"/>
        <v>0</v>
      </c>
      <c r="N6" s="125">
        <f t="shared" si="2"/>
        <v>0</v>
      </c>
      <c r="O6" s="125">
        <f t="shared" si="2"/>
        <v>0</v>
      </c>
      <c r="P6" s="125">
        <f t="shared" si="2"/>
        <v>0</v>
      </c>
      <c r="Q6" s="125">
        <f t="shared" si="2"/>
        <v>0</v>
      </c>
      <c r="R6" s="125">
        <f t="shared" si="2"/>
        <v>0</v>
      </c>
      <c r="S6" s="125">
        <f t="shared" si="2"/>
        <v>0</v>
      </c>
      <c r="T6" s="125">
        <f t="shared" si="2"/>
        <v>9800</v>
      </c>
      <c r="U6" s="125">
        <f t="shared" si="2"/>
        <v>20000</v>
      </c>
      <c r="V6" s="123">
        <f>SUM(D6:U6)</f>
        <v>49480</v>
      </c>
      <c r="W6" s="125"/>
      <c r="X6" s="125">
        <f t="shared" ref="X6:AO6" si="3">SUM(X7:X7)</f>
        <v>0</v>
      </c>
      <c r="Y6" s="125">
        <f t="shared" si="3"/>
        <v>0</v>
      </c>
      <c r="Z6" s="125">
        <f t="shared" si="3"/>
        <v>0</v>
      </c>
      <c r="AA6" s="125">
        <f t="shared" si="3"/>
        <v>0</v>
      </c>
      <c r="AB6" s="125">
        <f t="shared" si="3"/>
        <v>0</v>
      </c>
      <c r="AC6" s="125">
        <f t="shared" si="3"/>
        <v>0</v>
      </c>
      <c r="AD6" s="125">
        <f t="shared" si="3"/>
        <v>0</v>
      </c>
      <c r="AE6" s="125">
        <f t="shared" si="3"/>
        <v>0</v>
      </c>
      <c r="AF6" s="125">
        <f t="shared" si="3"/>
        <v>0</v>
      </c>
      <c r="AG6" s="125">
        <f t="shared" si="3"/>
        <v>0</v>
      </c>
      <c r="AH6" s="125">
        <f t="shared" si="3"/>
        <v>0</v>
      </c>
      <c r="AI6" s="125">
        <f t="shared" si="3"/>
        <v>0</v>
      </c>
      <c r="AJ6" s="125">
        <f t="shared" si="3"/>
        <v>0</v>
      </c>
      <c r="AK6" s="125">
        <f t="shared" si="3"/>
        <v>0</v>
      </c>
      <c r="AL6" s="125">
        <f t="shared" si="3"/>
        <v>0</v>
      </c>
      <c r="AM6" s="125">
        <f t="shared" si="3"/>
        <v>0</v>
      </c>
      <c r="AN6" s="125">
        <f t="shared" si="3"/>
        <v>0</v>
      </c>
      <c r="AO6" s="125">
        <f t="shared" si="3"/>
        <v>0</v>
      </c>
      <c r="AP6" s="123">
        <f>SUM(X6:AO6)</f>
        <v>0</v>
      </c>
      <c r="AQ6" s="124">
        <f>AP6+V6</f>
        <v>49480</v>
      </c>
    </row>
    <row r="7" spans="1:46" ht="74.45" customHeight="1" x14ac:dyDescent="0.25">
      <c r="A7" s="1" t="s">
        <v>227</v>
      </c>
      <c r="B7" s="3" t="s">
        <v>31</v>
      </c>
      <c r="D7" s="101"/>
      <c r="E7" s="101">
        <f>1500*4*2</f>
        <v>12000</v>
      </c>
      <c r="F7" s="101"/>
      <c r="G7" s="101">
        <f>240*4*4*2</f>
        <v>7680</v>
      </c>
      <c r="H7" s="101"/>
      <c r="I7" s="101"/>
      <c r="J7" s="101"/>
      <c r="K7" s="101"/>
      <c r="L7" s="101"/>
      <c r="M7" s="101"/>
      <c r="N7" s="101"/>
      <c r="O7" s="101"/>
      <c r="P7" s="101"/>
      <c r="Q7" s="101"/>
      <c r="R7" s="101"/>
      <c r="S7" s="101"/>
      <c r="T7" s="101">
        <f>(4*600)+(4*600)+5000</f>
        <v>9800</v>
      </c>
      <c r="U7" s="101">
        <v>20000</v>
      </c>
      <c r="V7" s="123">
        <f>SUM(D7:U7)</f>
        <v>49480</v>
      </c>
      <c r="W7" s="101"/>
      <c r="X7" s="101"/>
      <c r="Y7" s="101"/>
      <c r="Z7" s="101"/>
      <c r="AA7" s="101"/>
      <c r="AB7" s="101"/>
      <c r="AC7" s="101"/>
      <c r="AD7" s="101"/>
      <c r="AE7" s="101"/>
      <c r="AF7" s="101"/>
      <c r="AG7" s="101"/>
      <c r="AH7" s="101"/>
      <c r="AI7" s="101"/>
      <c r="AJ7" s="101"/>
      <c r="AK7" s="101"/>
      <c r="AL7" s="101"/>
      <c r="AM7" s="101"/>
      <c r="AN7" s="101"/>
      <c r="AO7" s="101"/>
      <c r="AP7" s="123"/>
      <c r="AQ7" s="124"/>
    </row>
    <row r="8" spans="1:46" ht="24" customHeight="1" x14ac:dyDescent="0.25">
      <c r="A8" s="521" t="str">
        <f>'Marco de Resultados'!A8:E8</f>
        <v>Producto 1.2:  Desarrollado el proceso de consulta y participación para la formulación de la Estrategia REDD+ Panamá</v>
      </c>
      <c r="B8" s="522"/>
      <c r="C8" s="99"/>
      <c r="D8" s="125">
        <f>SUM(D9:D20)</f>
        <v>0</v>
      </c>
      <c r="E8" s="125">
        <f t="shared" ref="E8:T8" si="4">SUM(E9:E20)</f>
        <v>0</v>
      </c>
      <c r="F8" s="125">
        <f t="shared" si="4"/>
        <v>0</v>
      </c>
      <c r="G8" s="125">
        <f t="shared" si="4"/>
        <v>0</v>
      </c>
      <c r="H8" s="125">
        <f t="shared" si="4"/>
        <v>0</v>
      </c>
      <c r="I8" s="125">
        <f t="shared" si="4"/>
        <v>0</v>
      </c>
      <c r="J8" s="125">
        <f t="shared" si="4"/>
        <v>0</v>
      </c>
      <c r="K8" s="125">
        <f t="shared" si="4"/>
        <v>0</v>
      </c>
      <c r="L8" s="125">
        <f t="shared" si="4"/>
        <v>0</v>
      </c>
      <c r="M8" s="125">
        <f t="shared" si="4"/>
        <v>0</v>
      </c>
      <c r="N8" s="125">
        <f t="shared" si="4"/>
        <v>0</v>
      </c>
      <c r="O8" s="125">
        <f t="shared" si="4"/>
        <v>0</v>
      </c>
      <c r="P8" s="125">
        <f t="shared" si="4"/>
        <v>0</v>
      </c>
      <c r="Q8" s="125">
        <f t="shared" si="4"/>
        <v>0</v>
      </c>
      <c r="R8" s="125">
        <f t="shared" si="4"/>
        <v>0</v>
      </c>
      <c r="S8" s="125">
        <f t="shared" si="4"/>
        <v>0</v>
      </c>
      <c r="T8" s="125">
        <f t="shared" si="4"/>
        <v>0</v>
      </c>
      <c r="U8" s="125">
        <f>SUM(U9:U20)</f>
        <v>0</v>
      </c>
      <c r="V8" s="123">
        <f>SUM(D8:U8)</f>
        <v>0</v>
      </c>
      <c r="W8" s="125"/>
      <c r="X8" s="125">
        <f>SUM(X9:X20)</f>
        <v>0</v>
      </c>
      <c r="Y8" s="125">
        <f t="shared" ref="Y8" si="5">SUM(Y9:Y20)</f>
        <v>91440</v>
      </c>
      <c r="Z8" s="125">
        <f t="shared" ref="Z8" si="6">SUM(Z9:Z20)</f>
        <v>0</v>
      </c>
      <c r="AA8" s="125">
        <f t="shared" ref="AA8" si="7">SUM(AA9:AA20)</f>
        <v>36000</v>
      </c>
      <c r="AB8" s="125">
        <f t="shared" ref="AB8" si="8">SUM(AB9:AB20)</f>
        <v>10000</v>
      </c>
      <c r="AC8" s="125">
        <f t="shared" ref="AC8" si="9">SUM(AC9:AC20)</f>
        <v>4500</v>
      </c>
      <c r="AD8" s="125">
        <f t="shared" ref="AD8" si="10">SUM(AD9:AD20)</f>
        <v>0</v>
      </c>
      <c r="AE8" s="125">
        <f t="shared" ref="AE8" si="11">SUM(AE9:AE20)</f>
        <v>0</v>
      </c>
      <c r="AF8" s="125">
        <f t="shared" ref="AF8" si="12">SUM(AF9:AF20)</f>
        <v>18750</v>
      </c>
      <c r="AG8" s="125">
        <f t="shared" ref="AG8" si="13">SUM(AG9:AG20)</f>
        <v>14200</v>
      </c>
      <c r="AH8" s="125">
        <f t="shared" ref="AH8" si="14">SUM(AH9:AH20)</f>
        <v>0</v>
      </c>
      <c r="AI8" s="125">
        <f t="shared" ref="AI8" si="15">SUM(AI9:AI20)</f>
        <v>0</v>
      </c>
      <c r="AJ8" s="125">
        <f t="shared" ref="AJ8" si="16">SUM(AJ9:AJ20)</f>
        <v>0</v>
      </c>
      <c r="AK8" s="125">
        <f t="shared" ref="AK8" si="17">SUM(AK9:AK20)</f>
        <v>0</v>
      </c>
      <c r="AL8" s="125">
        <f t="shared" ref="AL8" si="18">SUM(AL9:AL20)</f>
        <v>0</v>
      </c>
      <c r="AM8" s="125">
        <f t="shared" ref="AM8" si="19">SUM(AM9:AM20)</f>
        <v>12000</v>
      </c>
      <c r="AN8" s="125">
        <f t="shared" ref="AN8" si="20">SUM(AN9:AN20)</f>
        <v>21725</v>
      </c>
      <c r="AO8" s="125">
        <f>SUM(AO9:AO20)</f>
        <v>365550</v>
      </c>
      <c r="AP8" s="123">
        <f t="shared" ref="AP8:AP30" si="21">SUM(X8:AO8)</f>
        <v>574165</v>
      </c>
      <c r="AQ8" s="124">
        <f>AP8+V8</f>
        <v>574165</v>
      </c>
    </row>
    <row r="9" spans="1:46" ht="63.75" x14ac:dyDescent="0.25">
      <c r="A9" s="224" t="s">
        <v>228</v>
      </c>
      <c r="B9" s="1" t="s">
        <v>30</v>
      </c>
      <c r="D9" s="101"/>
      <c r="E9" s="101"/>
      <c r="F9" s="101"/>
      <c r="G9" s="101"/>
      <c r="H9" s="101"/>
      <c r="I9" s="101"/>
      <c r="J9" s="101"/>
      <c r="K9" s="101"/>
      <c r="L9" s="101"/>
      <c r="M9" s="101"/>
      <c r="N9" s="101"/>
      <c r="O9" s="101"/>
      <c r="P9" s="101"/>
      <c r="Q9" s="101"/>
      <c r="R9" s="101"/>
      <c r="S9" s="101"/>
      <c r="T9" s="101"/>
      <c r="U9" s="101"/>
      <c r="V9" s="123">
        <f t="shared" ref="V9:V29" si="22">SUM(D9:U9)</f>
        <v>0</v>
      </c>
      <c r="W9" s="101"/>
      <c r="X9" s="101"/>
      <c r="Y9" s="101"/>
      <c r="Z9" s="101"/>
      <c r="AA9" s="101"/>
      <c r="AB9" s="101"/>
      <c r="AC9" s="101"/>
      <c r="AD9" s="101"/>
      <c r="AE9" s="101"/>
      <c r="AF9" s="101"/>
      <c r="AG9" s="101"/>
      <c r="AH9" s="101"/>
      <c r="AI9" s="101"/>
      <c r="AJ9" s="101"/>
      <c r="AK9" s="101"/>
      <c r="AL9" s="101"/>
      <c r="AM9" s="101"/>
      <c r="AN9" s="101"/>
      <c r="AO9" s="101"/>
      <c r="AP9" s="123">
        <f t="shared" si="21"/>
        <v>0</v>
      </c>
      <c r="AQ9" s="124"/>
    </row>
    <row r="10" spans="1:46" s="116" customFormat="1" x14ac:dyDescent="0.25">
      <c r="A10" s="1" t="s">
        <v>90</v>
      </c>
      <c r="B10" s="1"/>
      <c r="D10" s="101"/>
      <c r="E10" s="101"/>
      <c r="F10" s="101"/>
      <c r="G10" s="101"/>
      <c r="H10" s="101"/>
      <c r="I10" s="101"/>
      <c r="J10" s="101"/>
      <c r="K10" s="101"/>
      <c r="L10" s="101"/>
      <c r="M10" s="101"/>
      <c r="N10" s="101"/>
      <c r="O10" s="101"/>
      <c r="P10" s="101"/>
      <c r="Q10" s="101"/>
      <c r="R10" s="101"/>
      <c r="S10" s="101"/>
      <c r="T10" s="101"/>
      <c r="U10" s="101"/>
      <c r="V10" s="123"/>
      <c r="W10" s="101"/>
      <c r="X10" s="101"/>
      <c r="Z10" s="101"/>
      <c r="AA10" s="101"/>
      <c r="AB10" s="101"/>
      <c r="AC10" s="101"/>
      <c r="AD10" s="101"/>
      <c r="AE10" s="101"/>
      <c r="AF10" s="101"/>
      <c r="AG10" s="101"/>
      <c r="AH10" s="101"/>
      <c r="AI10" s="101"/>
      <c r="AJ10" s="101"/>
      <c r="AK10" s="101"/>
      <c r="AL10" s="101"/>
      <c r="AM10" s="101"/>
      <c r="AN10" s="101"/>
      <c r="AO10" s="101"/>
      <c r="AP10" s="123">
        <f t="shared" si="21"/>
        <v>0</v>
      </c>
      <c r="AQ10" s="124"/>
    </row>
    <row r="11" spans="1:46" ht="66.599999999999994" customHeight="1" x14ac:dyDescent="0.25">
      <c r="A11" s="1" t="s">
        <v>230</v>
      </c>
      <c r="B11" s="1"/>
      <c r="D11" s="101"/>
      <c r="F11" s="101"/>
      <c r="G11" s="101"/>
      <c r="H11" s="101"/>
      <c r="I11" s="101"/>
      <c r="J11" s="101"/>
      <c r="K11" s="101"/>
      <c r="L11" s="101"/>
      <c r="M11" s="101"/>
      <c r="N11" s="101"/>
      <c r="O11" s="101"/>
      <c r="P11" s="101"/>
      <c r="Q11" s="101"/>
      <c r="R11" s="101"/>
      <c r="S11" s="101"/>
      <c r="T11" s="101"/>
      <c r="U11" s="101"/>
      <c r="V11" s="123">
        <f t="shared" si="22"/>
        <v>0</v>
      </c>
      <c r="W11" s="101"/>
      <c r="X11" s="101"/>
      <c r="Y11" s="101">
        <f>(12*85*12)+(12*50*12)</f>
        <v>19440</v>
      </c>
      <c r="Z11" s="101"/>
      <c r="AA11" s="101"/>
      <c r="AB11" s="101"/>
      <c r="AC11" s="101"/>
      <c r="AD11" s="101"/>
      <c r="AE11" s="101"/>
      <c r="AF11" s="101">
        <f>490+1610</f>
        <v>2100</v>
      </c>
      <c r="AG11" s="101">
        <f>6*700</f>
        <v>4200</v>
      </c>
      <c r="AH11" s="101"/>
      <c r="AI11" s="101"/>
      <c r="AJ11" s="101"/>
      <c r="AK11" s="101"/>
      <c r="AL11" s="101"/>
      <c r="AM11" s="101"/>
      <c r="AN11" s="101" t="s">
        <v>90</v>
      </c>
      <c r="AO11" s="101">
        <v>273000</v>
      </c>
      <c r="AP11" s="123">
        <f t="shared" si="21"/>
        <v>298740</v>
      </c>
      <c r="AQ11" s="124"/>
      <c r="AS11" s="101">
        <f>348740-24610</f>
        <v>324130</v>
      </c>
      <c r="AT11" s="296">
        <f>AP11-AS11</f>
        <v>-25390</v>
      </c>
    </row>
    <row r="12" spans="1:46" x14ac:dyDescent="0.25">
      <c r="A12" s="224" t="s">
        <v>132</v>
      </c>
      <c r="B12" s="1"/>
      <c r="D12" s="101"/>
      <c r="E12" s="101"/>
      <c r="F12" s="101"/>
      <c r="G12" s="101"/>
      <c r="H12" s="101"/>
      <c r="I12" s="101"/>
      <c r="J12" s="101"/>
      <c r="K12" s="101"/>
      <c r="L12" s="101"/>
      <c r="M12" s="101"/>
      <c r="N12" s="101"/>
      <c r="O12" s="101"/>
      <c r="P12" s="101"/>
      <c r="Q12" s="101"/>
      <c r="R12" s="101"/>
      <c r="S12" s="101"/>
      <c r="T12" s="101"/>
      <c r="U12" s="101"/>
      <c r="V12" s="123">
        <f t="shared" si="22"/>
        <v>0</v>
      </c>
      <c r="W12" s="101"/>
      <c r="X12" s="101"/>
      <c r="Y12" s="101"/>
      <c r="Z12" s="101"/>
      <c r="AA12" s="101"/>
      <c r="AB12" s="101"/>
      <c r="AC12" s="101"/>
      <c r="AD12" s="101"/>
      <c r="AE12" s="101"/>
      <c r="AF12" s="101">
        <f>5*150</f>
        <v>750</v>
      </c>
      <c r="AG12" s="101"/>
      <c r="AH12" s="101"/>
      <c r="AI12" s="101"/>
      <c r="AJ12" s="101"/>
      <c r="AK12" s="101"/>
      <c r="AL12" s="101"/>
      <c r="AM12" s="101"/>
      <c r="AN12" s="101">
        <f>AO12*0.05</f>
        <v>1875</v>
      </c>
      <c r="AO12" s="101">
        <f>5*7500</f>
        <v>37500</v>
      </c>
      <c r="AP12" s="123">
        <f t="shared" si="21"/>
        <v>40125</v>
      </c>
      <c r="AQ12" s="124"/>
    </row>
    <row r="13" spans="1:46" x14ac:dyDescent="0.25">
      <c r="A13" s="224" t="s">
        <v>133</v>
      </c>
      <c r="B13" s="1"/>
      <c r="D13" s="101"/>
      <c r="E13" s="101"/>
      <c r="F13" s="101"/>
      <c r="G13" s="101"/>
      <c r="H13" s="101"/>
      <c r="I13" s="101"/>
      <c r="J13" s="101"/>
      <c r="K13" s="101"/>
      <c r="L13" s="101"/>
      <c r="M13" s="101"/>
      <c r="N13" s="101"/>
      <c r="O13" s="101"/>
      <c r="P13" s="101"/>
      <c r="Q13" s="101"/>
      <c r="R13" s="101"/>
      <c r="S13" s="101"/>
      <c r="T13" s="101"/>
      <c r="U13" s="101"/>
      <c r="V13" s="123">
        <f t="shared" si="22"/>
        <v>0</v>
      </c>
      <c r="W13" s="101"/>
      <c r="X13" s="101"/>
      <c r="Y13" s="101"/>
      <c r="Z13" s="101"/>
      <c r="AA13" s="101"/>
      <c r="AB13" s="101"/>
      <c r="AC13" s="101"/>
      <c r="AD13" s="101"/>
      <c r="AE13" s="101"/>
      <c r="AF13" s="101">
        <f>6*150</f>
        <v>900</v>
      </c>
      <c r="AG13" s="101"/>
      <c r="AH13" s="101"/>
      <c r="AI13" s="101"/>
      <c r="AJ13" s="101"/>
      <c r="AK13" s="101"/>
      <c r="AL13" s="101"/>
      <c r="AM13" s="101"/>
      <c r="AN13" s="101">
        <f>AO13*0.05</f>
        <v>2250</v>
      </c>
      <c r="AO13" s="101">
        <f>6*7500</f>
        <v>45000</v>
      </c>
      <c r="AP13" s="123">
        <f t="shared" si="21"/>
        <v>48150</v>
      </c>
      <c r="AQ13" s="124"/>
    </row>
    <row r="14" spans="1:46" ht="52.15" customHeight="1" x14ac:dyDescent="0.25">
      <c r="A14" s="224" t="s">
        <v>134</v>
      </c>
      <c r="B14" s="1"/>
      <c r="D14" s="101"/>
      <c r="E14" s="101"/>
      <c r="F14" s="101"/>
      <c r="G14" s="101"/>
      <c r="H14" s="101"/>
      <c r="I14" s="101"/>
      <c r="J14" s="101"/>
      <c r="K14" s="101"/>
      <c r="L14" s="101"/>
      <c r="M14" s="101"/>
      <c r="N14" s="101"/>
      <c r="O14" s="101"/>
      <c r="P14" s="101"/>
      <c r="Q14" s="101"/>
      <c r="R14" s="101"/>
      <c r="S14" s="101"/>
      <c r="T14" s="101"/>
      <c r="U14" s="101"/>
      <c r="V14" s="123">
        <f t="shared" si="22"/>
        <v>0</v>
      </c>
      <c r="W14" s="101"/>
      <c r="X14" s="101"/>
      <c r="Y14" s="101"/>
      <c r="Z14" s="101"/>
      <c r="AA14" s="101"/>
      <c r="AB14" s="101"/>
      <c r="AC14" s="101"/>
      <c r="AD14" s="101"/>
      <c r="AE14" s="101"/>
      <c r="AF14" s="101">
        <f>300*30</f>
        <v>9000</v>
      </c>
      <c r="AG14" s="101"/>
      <c r="AH14" s="101"/>
      <c r="AI14" s="101"/>
      <c r="AJ14" s="101"/>
      <c r="AK14" s="101"/>
      <c r="AL14" s="101"/>
      <c r="AM14" s="101"/>
      <c r="AN14" s="101"/>
      <c r="AO14" s="101"/>
      <c r="AP14" s="123">
        <f t="shared" si="21"/>
        <v>9000</v>
      </c>
      <c r="AQ14" s="124"/>
    </row>
    <row r="15" spans="1:46" s="223" customFormat="1" ht="72" customHeight="1" x14ac:dyDescent="0.25">
      <c r="A15" s="248" t="s">
        <v>143</v>
      </c>
      <c r="B15" s="224"/>
      <c r="D15" s="101"/>
      <c r="E15" s="101"/>
      <c r="F15" s="101"/>
      <c r="G15" s="101"/>
      <c r="H15" s="101"/>
      <c r="I15" s="101"/>
      <c r="J15" s="101"/>
      <c r="K15" s="101"/>
      <c r="L15" s="101"/>
      <c r="M15" s="101"/>
      <c r="N15" s="101"/>
      <c r="O15" s="101"/>
      <c r="P15" s="101"/>
      <c r="Q15" s="101"/>
      <c r="R15" s="101"/>
      <c r="S15" s="101"/>
      <c r="T15" s="101"/>
      <c r="U15" s="101"/>
      <c r="V15" s="123">
        <f t="shared" si="22"/>
        <v>0</v>
      </c>
      <c r="W15" s="101"/>
      <c r="X15" s="101"/>
      <c r="Y15" s="101">
        <f>4*1500*12</f>
        <v>72000</v>
      </c>
      <c r="Z15" s="101"/>
      <c r="AA15" s="101"/>
      <c r="AB15" s="101"/>
      <c r="AC15" s="101">
        <v>4500</v>
      </c>
      <c r="AD15" s="101"/>
      <c r="AE15" s="101"/>
      <c r="AF15" s="101">
        <f>500*12</f>
        <v>6000</v>
      </c>
      <c r="AG15" s="101">
        <f>(4*1000)+(2*500)</f>
        <v>5000</v>
      </c>
      <c r="AH15" s="101"/>
      <c r="AI15" s="101"/>
      <c r="AJ15" s="101"/>
      <c r="AK15" s="101"/>
      <c r="AL15" s="101"/>
      <c r="AM15" s="101"/>
      <c r="AN15" s="101">
        <f>26100-AC15-AF15-AG15</f>
        <v>10600</v>
      </c>
      <c r="AO15" s="101"/>
      <c r="AP15" s="123">
        <f t="shared" si="21"/>
        <v>98100</v>
      </c>
      <c r="AQ15" s="124"/>
    </row>
    <row r="16" spans="1:46" s="223" customFormat="1" ht="40.700000000000003" customHeight="1" x14ac:dyDescent="0.25">
      <c r="A16" s="249" t="s">
        <v>144</v>
      </c>
      <c r="B16" s="224"/>
      <c r="D16" s="101"/>
      <c r="E16" s="101"/>
      <c r="F16" s="101"/>
      <c r="G16" s="101"/>
      <c r="H16" s="101"/>
      <c r="I16" s="101"/>
      <c r="J16" s="101"/>
      <c r="K16" s="101"/>
      <c r="L16" s="101"/>
      <c r="M16" s="101"/>
      <c r="N16" s="101"/>
      <c r="O16" s="101"/>
      <c r="P16" s="101"/>
      <c r="Q16" s="101"/>
      <c r="R16" s="101"/>
      <c r="S16" s="101"/>
      <c r="T16" s="101"/>
      <c r="U16" s="101"/>
      <c r="V16" s="123">
        <f t="shared" si="22"/>
        <v>0</v>
      </c>
      <c r="W16" s="101"/>
      <c r="X16" s="101"/>
      <c r="Y16" s="101"/>
      <c r="Z16" s="101"/>
      <c r="AA16" s="101"/>
      <c r="AB16" s="101">
        <v>10000</v>
      </c>
      <c r="AC16" s="101"/>
      <c r="AD16" s="101"/>
      <c r="AE16" s="101"/>
      <c r="AF16" s="101"/>
      <c r="AG16" s="101">
        <v>5000</v>
      </c>
      <c r="AH16" s="101"/>
      <c r="AI16" s="101"/>
      <c r="AJ16" s="101"/>
      <c r="AK16" s="101"/>
      <c r="AL16" s="101"/>
      <c r="AM16" s="101"/>
      <c r="AN16" s="101">
        <v>5000</v>
      </c>
      <c r="AO16" s="101"/>
      <c r="AP16" s="123">
        <f t="shared" si="21"/>
        <v>20000</v>
      </c>
      <c r="AQ16" s="124"/>
    </row>
    <row r="17" spans="1:43" ht="63.75" x14ac:dyDescent="0.25">
      <c r="A17" s="226" t="s">
        <v>145</v>
      </c>
      <c r="B17" s="2" t="s">
        <v>32</v>
      </c>
      <c r="D17" s="101"/>
      <c r="E17" s="101"/>
      <c r="F17" s="101"/>
      <c r="G17" s="101"/>
      <c r="H17" s="101"/>
      <c r="I17" s="101"/>
      <c r="J17" s="101"/>
      <c r="K17" s="101"/>
      <c r="L17" s="101"/>
      <c r="M17" s="101"/>
      <c r="N17" s="101"/>
      <c r="O17" s="101"/>
      <c r="P17" s="101"/>
      <c r="Q17" s="101"/>
      <c r="R17" s="101"/>
      <c r="S17" s="101"/>
      <c r="T17" s="101"/>
      <c r="U17" s="101"/>
      <c r="V17" s="123">
        <f t="shared" si="22"/>
        <v>0</v>
      </c>
      <c r="W17" s="101"/>
      <c r="X17" s="101"/>
      <c r="Y17" s="101"/>
      <c r="Z17" s="101"/>
      <c r="AA17" s="101">
        <f>240*60</f>
        <v>14400</v>
      </c>
      <c r="AB17" s="101"/>
      <c r="AC17" s="101"/>
      <c r="AD17" s="101"/>
      <c r="AE17" s="101"/>
      <c r="AF17" s="101"/>
      <c r="AG17" s="101"/>
      <c r="AH17" s="101"/>
      <c r="AI17" s="101"/>
      <c r="AJ17" s="101"/>
      <c r="AK17" s="101"/>
      <c r="AL17" s="101"/>
      <c r="AM17" s="101"/>
      <c r="AN17" s="101">
        <v>1000</v>
      </c>
      <c r="AO17" s="101">
        <f>60*40</f>
        <v>2400</v>
      </c>
      <c r="AP17" s="123">
        <f t="shared" si="21"/>
        <v>17800</v>
      </c>
      <c r="AQ17" s="124"/>
    </row>
    <row r="18" spans="1:43" ht="25.5" x14ac:dyDescent="0.25">
      <c r="A18" s="226" t="s">
        <v>149</v>
      </c>
      <c r="B18" s="2" t="s">
        <v>33</v>
      </c>
      <c r="D18" s="101"/>
      <c r="E18" s="101"/>
      <c r="F18" s="101"/>
      <c r="G18" s="101"/>
      <c r="H18" s="101"/>
      <c r="I18" s="101"/>
      <c r="J18" s="101"/>
      <c r="K18" s="101"/>
      <c r="L18" s="101"/>
      <c r="M18" s="101"/>
      <c r="N18" s="101"/>
      <c r="O18" s="101"/>
      <c r="P18" s="101"/>
      <c r="Q18" s="101"/>
      <c r="R18" s="101"/>
      <c r="S18" s="101"/>
      <c r="T18" s="101"/>
      <c r="U18" s="101"/>
      <c r="V18" s="123">
        <f t="shared" si="22"/>
        <v>0</v>
      </c>
      <c r="W18" s="101"/>
      <c r="X18" s="101"/>
      <c r="Y18" s="101"/>
      <c r="Z18" s="101"/>
      <c r="AA18" s="101">
        <f>15*2*240</f>
        <v>7200</v>
      </c>
      <c r="AB18" s="101"/>
      <c r="AC18" s="101"/>
      <c r="AD18" s="101"/>
      <c r="AE18" s="101"/>
      <c r="AF18" s="101"/>
      <c r="AG18" s="101"/>
      <c r="AH18" s="101"/>
      <c r="AI18" s="101"/>
      <c r="AJ18" s="101"/>
      <c r="AK18" s="101"/>
      <c r="AL18" s="101"/>
      <c r="AM18" s="101"/>
      <c r="AN18" s="101"/>
      <c r="AO18" s="101">
        <f>2*(15*35)*5</f>
        <v>5250</v>
      </c>
      <c r="AP18" s="123">
        <f t="shared" si="21"/>
        <v>12450</v>
      </c>
      <c r="AQ18" s="124"/>
    </row>
    <row r="19" spans="1:43" ht="51" x14ac:dyDescent="0.25">
      <c r="A19" s="224" t="s">
        <v>147</v>
      </c>
      <c r="B19" s="1" t="s">
        <v>22</v>
      </c>
      <c r="D19" s="101"/>
      <c r="E19" s="101"/>
      <c r="F19" s="101"/>
      <c r="G19" s="101"/>
      <c r="H19" s="101"/>
      <c r="I19" s="101"/>
      <c r="J19" s="101"/>
      <c r="K19" s="101"/>
      <c r="L19" s="101"/>
      <c r="M19" s="101"/>
      <c r="N19" s="101"/>
      <c r="O19" s="101"/>
      <c r="P19" s="101"/>
      <c r="Q19" s="101"/>
      <c r="R19" s="101"/>
      <c r="S19" s="101"/>
      <c r="T19" s="101"/>
      <c r="U19" s="101"/>
      <c r="V19" s="123">
        <f t="shared" si="22"/>
        <v>0</v>
      </c>
      <c r="W19" s="101"/>
      <c r="X19" s="101"/>
      <c r="Y19" s="101"/>
      <c r="Z19" s="101"/>
      <c r="AA19" s="101">
        <f>240*60</f>
        <v>14400</v>
      </c>
      <c r="AB19" s="101"/>
      <c r="AC19" s="101"/>
      <c r="AD19" s="101"/>
      <c r="AE19" s="101"/>
      <c r="AF19" s="101"/>
      <c r="AG19" s="101"/>
      <c r="AH19" s="101"/>
      <c r="AI19" s="101"/>
      <c r="AJ19" s="101"/>
      <c r="AK19" s="101"/>
      <c r="AL19" s="101"/>
      <c r="AM19" s="101"/>
      <c r="AN19" s="101">
        <v>1000</v>
      </c>
      <c r="AO19" s="101">
        <f>60*40</f>
        <v>2400</v>
      </c>
      <c r="AP19" s="123">
        <f t="shared" si="21"/>
        <v>17800</v>
      </c>
      <c r="AQ19" s="124"/>
    </row>
    <row r="20" spans="1:43" ht="51" x14ac:dyDescent="0.25">
      <c r="A20" s="224" t="s">
        <v>148</v>
      </c>
      <c r="B20" s="1" t="s">
        <v>18</v>
      </c>
      <c r="D20" s="101"/>
      <c r="E20" s="101"/>
      <c r="F20" s="101"/>
      <c r="G20" s="101"/>
      <c r="H20" s="101"/>
      <c r="I20" s="101"/>
      <c r="J20" s="101"/>
      <c r="K20" s="101"/>
      <c r="L20" s="101"/>
      <c r="M20" s="101"/>
      <c r="N20" s="101"/>
      <c r="O20" s="101"/>
      <c r="P20" s="101"/>
      <c r="Q20" s="101"/>
      <c r="R20" s="101"/>
      <c r="S20" s="101"/>
      <c r="T20" s="101"/>
      <c r="U20" s="101"/>
      <c r="V20" s="123">
        <f t="shared" si="22"/>
        <v>0</v>
      </c>
      <c r="W20" s="101"/>
      <c r="X20" s="101"/>
      <c r="Y20" s="101"/>
      <c r="Z20" s="101"/>
      <c r="AA20" s="101"/>
      <c r="AB20" s="101"/>
      <c r="AC20" s="101"/>
      <c r="AD20" s="101"/>
      <c r="AE20" s="101"/>
      <c r="AF20" s="101"/>
      <c r="AG20" s="101"/>
      <c r="AH20" s="101"/>
      <c r="AI20" s="101"/>
      <c r="AJ20" s="101"/>
      <c r="AK20" s="101"/>
      <c r="AL20" s="101"/>
      <c r="AM20" s="101">
        <v>12000</v>
      </c>
      <c r="AN20" s="101"/>
      <c r="AO20" s="101"/>
      <c r="AP20" s="123">
        <f t="shared" si="21"/>
        <v>12000</v>
      </c>
      <c r="AQ20" s="124"/>
    </row>
    <row r="21" spans="1:43" ht="40.15" customHeight="1" x14ac:dyDescent="0.25">
      <c r="A21" s="523" t="s">
        <v>153</v>
      </c>
      <c r="B21" s="524"/>
      <c r="C21" s="99"/>
      <c r="D21" s="125">
        <f t="shared" ref="D21:U21" si="23">SUM(D22:D24)</f>
        <v>0</v>
      </c>
      <c r="E21" s="125">
        <f t="shared" si="23"/>
        <v>0</v>
      </c>
      <c r="F21" s="125">
        <f t="shared" si="23"/>
        <v>0</v>
      </c>
      <c r="G21" s="125">
        <f t="shared" si="23"/>
        <v>0</v>
      </c>
      <c r="H21" s="125">
        <f t="shared" si="23"/>
        <v>0</v>
      </c>
      <c r="I21" s="125">
        <f t="shared" si="23"/>
        <v>0</v>
      </c>
      <c r="J21" s="125">
        <f t="shared" si="23"/>
        <v>0</v>
      </c>
      <c r="K21" s="125">
        <f t="shared" si="23"/>
        <v>0</v>
      </c>
      <c r="L21" s="125">
        <f t="shared" si="23"/>
        <v>0</v>
      </c>
      <c r="M21" s="125">
        <f t="shared" si="23"/>
        <v>0</v>
      </c>
      <c r="N21" s="125">
        <f t="shared" si="23"/>
        <v>0</v>
      </c>
      <c r="O21" s="125">
        <f t="shared" si="23"/>
        <v>0</v>
      </c>
      <c r="P21" s="125">
        <f t="shared" si="23"/>
        <v>0</v>
      </c>
      <c r="Q21" s="125">
        <f t="shared" si="23"/>
        <v>0</v>
      </c>
      <c r="R21" s="125">
        <f t="shared" si="23"/>
        <v>0</v>
      </c>
      <c r="S21" s="125">
        <f t="shared" si="23"/>
        <v>0</v>
      </c>
      <c r="T21" s="125">
        <f t="shared" si="23"/>
        <v>0</v>
      </c>
      <c r="U21" s="125">
        <f t="shared" si="23"/>
        <v>0</v>
      </c>
      <c r="V21" s="123">
        <f>SUM(D21:U21)</f>
        <v>0</v>
      </c>
      <c r="W21" s="125"/>
      <c r="X21" s="125">
        <f t="shared" ref="X21:AO21" si="24">SUM(X22:X24)</f>
        <v>0</v>
      </c>
      <c r="Y21" s="125">
        <f t="shared" si="24"/>
        <v>7000</v>
      </c>
      <c r="Z21" s="125">
        <f t="shared" si="24"/>
        <v>0</v>
      </c>
      <c r="AA21" s="125">
        <f t="shared" si="24"/>
        <v>0</v>
      </c>
      <c r="AB21" s="125">
        <f t="shared" si="24"/>
        <v>0</v>
      </c>
      <c r="AC21" s="125">
        <f t="shared" si="24"/>
        <v>0</v>
      </c>
      <c r="AD21" s="125">
        <f t="shared" si="24"/>
        <v>0</v>
      </c>
      <c r="AE21" s="125">
        <f t="shared" si="24"/>
        <v>0</v>
      </c>
      <c r="AF21" s="125">
        <f t="shared" si="24"/>
        <v>2000</v>
      </c>
      <c r="AG21" s="125">
        <f t="shared" si="24"/>
        <v>0</v>
      </c>
      <c r="AH21" s="125">
        <f t="shared" si="24"/>
        <v>0</v>
      </c>
      <c r="AI21" s="125">
        <f t="shared" si="24"/>
        <v>0</v>
      </c>
      <c r="AJ21" s="125">
        <f t="shared" si="24"/>
        <v>0</v>
      </c>
      <c r="AK21" s="125">
        <f t="shared" si="24"/>
        <v>0</v>
      </c>
      <c r="AL21" s="125">
        <f t="shared" si="24"/>
        <v>0</v>
      </c>
      <c r="AM21" s="125">
        <f t="shared" si="24"/>
        <v>5000</v>
      </c>
      <c r="AN21" s="125">
        <f t="shared" si="24"/>
        <v>10000</v>
      </c>
      <c r="AO21" s="125">
        <f t="shared" si="24"/>
        <v>1500</v>
      </c>
      <c r="AP21" s="123">
        <f t="shared" si="21"/>
        <v>25500</v>
      </c>
      <c r="AQ21" s="124">
        <f>AP21+V21</f>
        <v>25500</v>
      </c>
    </row>
    <row r="22" spans="1:43" ht="140.25" x14ac:dyDescent="0.25">
      <c r="A22" s="250" t="s">
        <v>35</v>
      </c>
      <c r="B22" s="8" t="s">
        <v>36</v>
      </c>
      <c r="D22" s="101"/>
      <c r="E22" s="101"/>
      <c r="F22" s="101"/>
      <c r="G22" s="101"/>
      <c r="H22" s="101"/>
      <c r="I22" s="101"/>
      <c r="J22" s="101"/>
      <c r="K22" s="101"/>
      <c r="L22" s="101"/>
      <c r="M22" s="101"/>
      <c r="N22" s="101"/>
      <c r="O22" s="101"/>
      <c r="P22" s="101"/>
      <c r="Q22" s="101"/>
      <c r="R22" s="101"/>
      <c r="S22" s="101"/>
      <c r="T22" s="101"/>
      <c r="U22" s="101"/>
      <c r="V22" s="123">
        <f t="shared" si="22"/>
        <v>0</v>
      </c>
      <c r="W22" s="101"/>
      <c r="X22" s="101"/>
      <c r="Y22" s="101">
        <v>2000</v>
      </c>
      <c r="Z22" s="101"/>
      <c r="AA22" s="101"/>
      <c r="AC22" s="101"/>
      <c r="AD22" s="101"/>
      <c r="AE22" s="101"/>
      <c r="AF22" s="101">
        <v>2000</v>
      </c>
      <c r="AG22" s="101"/>
      <c r="AH22" s="101"/>
      <c r="AI22" s="101"/>
      <c r="AJ22" s="101"/>
      <c r="AK22" s="101"/>
      <c r="AL22" s="101"/>
      <c r="AM22" s="101">
        <v>5000</v>
      </c>
      <c r="AN22" s="101"/>
      <c r="AO22" s="101">
        <v>1500</v>
      </c>
      <c r="AP22" s="123">
        <f t="shared" si="21"/>
        <v>10500</v>
      </c>
      <c r="AQ22" s="124"/>
    </row>
    <row r="23" spans="1:43" s="223" customFormat="1" ht="51" x14ac:dyDescent="0.25">
      <c r="A23" s="231" t="s">
        <v>157</v>
      </c>
      <c r="B23" s="227"/>
      <c r="D23" s="101"/>
      <c r="E23" s="101"/>
      <c r="F23" s="101"/>
      <c r="G23" s="101"/>
      <c r="H23" s="101"/>
      <c r="I23" s="101"/>
      <c r="J23" s="101"/>
      <c r="K23" s="101"/>
      <c r="L23" s="101"/>
      <c r="M23" s="101"/>
      <c r="N23" s="101"/>
      <c r="O23" s="101"/>
      <c r="P23" s="101"/>
      <c r="Q23" s="101"/>
      <c r="R23" s="101"/>
      <c r="S23" s="101"/>
      <c r="T23" s="101"/>
      <c r="U23" s="101"/>
      <c r="V23" s="123"/>
      <c r="W23" s="101"/>
      <c r="X23" s="101"/>
      <c r="Y23" s="101"/>
      <c r="Z23" s="101"/>
      <c r="AA23" s="101"/>
      <c r="AC23" s="101"/>
      <c r="AD23" s="101"/>
      <c r="AE23" s="101"/>
      <c r="AF23" s="101"/>
      <c r="AG23" s="101"/>
      <c r="AH23" s="101"/>
      <c r="AI23" s="101"/>
      <c r="AJ23" s="101"/>
      <c r="AK23" s="101"/>
      <c r="AL23" s="101"/>
      <c r="AM23" s="101"/>
      <c r="AN23" s="101">
        <v>10000</v>
      </c>
      <c r="AO23" s="101"/>
      <c r="AP23" s="123">
        <f t="shared" si="21"/>
        <v>10000</v>
      </c>
      <c r="AQ23" s="124"/>
    </row>
    <row r="24" spans="1:43" ht="51" x14ac:dyDescent="0.25">
      <c r="A24" s="228" t="s">
        <v>19</v>
      </c>
      <c r="B24" s="5" t="s">
        <v>17</v>
      </c>
      <c r="D24" s="101"/>
      <c r="E24" s="101"/>
      <c r="F24" s="101"/>
      <c r="G24" s="101"/>
      <c r="H24" s="101"/>
      <c r="I24" s="101"/>
      <c r="J24" s="101"/>
      <c r="K24" s="101"/>
      <c r="L24" s="101"/>
      <c r="M24" s="101"/>
      <c r="N24" s="101"/>
      <c r="O24" s="101"/>
      <c r="P24" s="101"/>
      <c r="Q24" s="101"/>
      <c r="R24" s="101"/>
      <c r="S24" s="101"/>
      <c r="T24" s="101"/>
      <c r="U24" s="101"/>
      <c r="V24" s="123">
        <f t="shared" si="22"/>
        <v>0</v>
      </c>
      <c r="W24" s="101"/>
      <c r="X24" s="101"/>
      <c r="Y24" s="101">
        <v>5000</v>
      </c>
      <c r="Z24" s="101"/>
      <c r="AA24" s="101"/>
      <c r="AB24" s="101"/>
      <c r="AC24" s="101"/>
      <c r="AD24" s="101"/>
      <c r="AE24" s="101"/>
      <c r="AF24" s="101"/>
      <c r="AG24" s="101"/>
      <c r="AH24" s="101"/>
      <c r="AI24" s="101"/>
      <c r="AJ24" s="101"/>
      <c r="AK24" s="101"/>
      <c r="AL24" s="101"/>
      <c r="AM24" s="101"/>
      <c r="AN24" s="101"/>
      <c r="AO24" s="101"/>
      <c r="AP24" s="123">
        <f t="shared" si="21"/>
        <v>5000</v>
      </c>
      <c r="AQ24" s="124"/>
    </row>
    <row r="25" spans="1:43" ht="30" customHeight="1" x14ac:dyDescent="0.25">
      <c r="A25" s="519" t="s">
        <v>173</v>
      </c>
      <c r="B25" s="520"/>
      <c r="C25" s="99"/>
      <c r="D25" s="125">
        <f t="shared" ref="D25:U25" si="25">SUM(D26:D29)</f>
        <v>0</v>
      </c>
      <c r="E25" s="125">
        <f t="shared" si="25"/>
        <v>0</v>
      </c>
      <c r="F25" s="125">
        <f t="shared" si="25"/>
        <v>0</v>
      </c>
      <c r="G25" s="125">
        <f t="shared" si="25"/>
        <v>0</v>
      </c>
      <c r="H25" s="125">
        <f t="shared" si="25"/>
        <v>0</v>
      </c>
      <c r="I25" s="125">
        <f t="shared" si="25"/>
        <v>0</v>
      </c>
      <c r="J25" s="125">
        <f t="shared" si="25"/>
        <v>0</v>
      </c>
      <c r="K25" s="125">
        <f t="shared" si="25"/>
        <v>0</v>
      </c>
      <c r="L25" s="125">
        <f t="shared" si="25"/>
        <v>0</v>
      </c>
      <c r="M25" s="125">
        <f t="shared" si="25"/>
        <v>0</v>
      </c>
      <c r="N25" s="125">
        <f t="shared" si="25"/>
        <v>0</v>
      </c>
      <c r="O25" s="125">
        <f t="shared" si="25"/>
        <v>0</v>
      </c>
      <c r="P25" s="125">
        <f t="shared" si="25"/>
        <v>0</v>
      </c>
      <c r="Q25" s="125">
        <f t="shared" si="25"/>
        <v>0</v>
      </c>
      <c r="R25" s="125">
        <f t="shared" si="25"/>
        <v>0</v>
      </c>
      <c r="S25" s="125">
        <f t="shared" si="25"/>
        <v>0</v>
      </c>
      <c r="T25" s="125">
        <f t="shared" si="25"/>
        <v>0</v>
      </c>
      <c r="U25" s="125">
        <f t="shared" si="25"/>
        <v>0</v>
      </c>
      <c r="V25" s="123">
        <f>SUM(D25:U25)</f>
        <v>0</v>
      </c>
      <c r="W25" s="125"/>
      <c r="X25" s="125">
        <f t="shared" ref="X25:AO25" si="26">SUM(X26:X29)</f>
        <v>0</v>
      </c>
      <c r="Y25" s="125">
        <f t="shared" si="26"/>
        <v>0</v>
      </c>
      <c r="Z25" s="125">
        <f t="shared" si="26"/>
        <v>0</v>
      </c>
      <c r="AA25" s="125">
        <f t="shared" si="26"/>
        <v>23250</v>
      </c>
      <c r="AB25" s="125">
        <f t="shared" si="26"/>
        <v>0</v>
      </c>
      <c r="AC25" s="125">
        <f t="shared" si="26"/>
        <v>0</v>
      </c>
      <c r="AD25" s="125">
        <f t="shared" si="26"/>
        <v>0</v>
      </c>
      <c r="AE25" s="125">
        <f t="shared" si="26"/>
        <v>0</v>
      </c>
      <c r="AF25" s="125">
        <f t="shared" si="26"/>
        <v>25000</v>
      </c>
      <c r="AG25" s="125">
        <f t="shared" si="26"/>
        <v>0</v>
      </c>
      <c r="AH25" s="125">
        <f t="shared" si="26"/>
        <v>0</v>
      </c>
      <c r="AI25" s="125">
        <f t="shared" si="26"/>
        <v>0</v>
      </c>
      <c r="AJ25" s="125">
        <f t="shared" si="26"/>
        <v>0</v>
      </c>
      <c r="AK25" s="125">
        <f t="shared" si="26"/>
        <v>0</v>
      </c>
      <c r="AL25" s="125">
        <f t="shared" si="26"/>
        <v>0</v>
      </c>
      <c r="AM25" s="125">
        <f t="shared" si="26"/>
        <v>0</v>
      </c>
      <c r="AN25" s="125">
        <f t="shared" si="26"/>
        <v>10000</v>
      </c>
      <c r="AO25" s="125">
        <f t="shared" si="26"/>
        <v>19800</v>
      </c>
      <c r="AP25" s="123">
        <f t="shared" si="21"/>
        <v>78050</v>
      </c>
      <c r="AQ25" s="124">
        <f>AP25+V25</f>
        <v>78050</v>
      </c>
    </row>
    <row r="26" spans="1:43" ht="63.75" x14ac:dyDescent="0.25">
      <c r="A26" s="229" t="s">
        <v>160</v>
      </c>
      <c r="B26" s="6" t="s">
        <v>39</v>
      </c>
      <c r="D26" s="101"/>
      <c r="E26" s="101"/>
      <c r="F26" s="101"/>
      <c r="G26" s="101"/>
      <c r="H26" s="101"/>
      <c r="I26" s="101"/>
      <c r="J26" s="101"/>
      <c r="K26" s="101"/>
      <c r="L26" s="101"/>
      <c r="M26" s="101"/>
      <c r="N26" s="101"/>
      <c r="O26" s="101"/>
      <c r="P26" s="101"/>
      <c r="Q26" s="101"/>
      <c r="R26" s="101"/>
      <c r="S26" s="101"/>
      <c r="T26" s="101"/>
      <c r="U26" s="101"/>
      <c r="V26" s="123">
        <f t="shared" si="22"/>
        <v>0</v>
      </c>
      <c r="W26" s="101"/>
      <c r="X26" s="101"/>
      <c r="Y26" s="101"/>
      <c r="Z26" s="101"/>
      <c r="AA26" s="101" t="s">
        <v>90</v>
      </c>
      <c r="AB26" s="101"/>
      <c r="AC26" s="101"/>
      <c r="AD26" s="101"/>
      <c r="AE26" s="101"/>
      <c r="AF26" s="101"/>
      <c r="AG26" s="101"/>
      <c r="AH26" s="101"/>
      <c r="AI26" s="101"/>
      <c r="AJ26" s="101"/>
      <c r="AK26" s="101"/>
      <c r="AL26" s="101"/>
      <c r="AM26" s="101"/>
      <c r="AN26" s="101">
        <v>5000</v>
      </c>
      <c r="AO26" s="101"/>
      <c r="AP26" s="123">
        <f t="shared" si="21"/>
        <v>5000</v>
      </c>
      <c r="AQ26" s="124"/>
    </row>
    <row r="27" spans="1:43" ht="76.5" x14ac:dyDescent="0.25">
      <c r="A27" s="230" t="s">
        <v>38</v>
      </c>
      <c r="B27" s="7" t="s">
        <v>40</v>
      </c>
      <c r="D27" s="101"/>
      <c r="E27" s="101"/>
      <c r="F27" s="101"/>
      <c r="G27" s="101"/>
      <c r="H27" s="101"/>
      <c r="I27" s="101"/>
      <c r="J27" s="101"/>
      <c r="K27" s="101"/>
      <c r="L27" s="101"/>
      <c r="M27" s="101"/>
      <c r="N27" s="101"/>
      <c r="O27" s="101"/>
      <c r="P27" s="101"/>
      <c r="Q27" s="101"/>
      <c r="R27" s="101"/>
      <c r="S27" s="101"/>
      <c r="T27" s="101"/>
      <c r="U27" s="101"/>
      <c r="V27" s="123">
        <f t="shared" si="22"/>
        <v>0</v>
      </c>
      <c r="W27" s="101"/>
      <c r="X27" s="101"/>
      <c r="Y27" s="101"/>
      <c r="Z27" s="101"/>
      <c r="AA27" s="101"/>
      <c r="AB27" s="101"/>
      <c r="AC27" s="101"/>
      <c r="AD27" s="101"/>
      <c r="AE27" s="101"/>
      <c r="AF27" s="101">
        <v>20000</v>
      </c>
      <c r="AG27" s="101"/>
      <c r="AH27" s="101"/>
      <c r="AI27" s="101"/>
      <c r="AJ27" s="101"/>
      <c r="AK27" s="101"/>
      <c r="AL27" s="101">
        <v>0</v>
      </c>
      <c r="AM27" s="101"/>
      <c r="AN27" s="101"/>
      <c r="AO27" s="101">
        <f>4*1200+3000</f>
        <v>7800</v>
      </c>
      <c r="AP27" s="123">
        <f t="shared" si="21"/>
        <v>27800</v>
      </c>
      <c r="AQ27" s="124"/>
    </row>
    <row r="28" spans="1:43" s="223" customFormat="1" ht="38.25" x14ac:dyDescent="0.25">
      <c r="A28" s="231" t="s">
        <v>166</v>
      </c>
      <c r="B28" s="231"/>
      <c r="D28" s="101"/>
      <c r="E28" s="101"/>
      <c r="F28" s="101"/>
      <c r="G28" s="101"/>
      <c r="H28" s="101"/>
      <c r="I28" s="101"/>
      <c r="J28" s="101"/>
      <c r="K28" s="101"/>
      <c r="L28" s="101"/>
      <c r="M28" s="101"/>
      <c r="N28" s="101"/>
      <c r="O28" s="101"/>
      <c r="P28" s="101"/>
      <c r="Q28" s="101"/>
      <c r="R28" s="101"/>
      <c r="S28" s="101"/>
      <c r="T28" s="101"/>
      <c r="U28" s="101"/>
      <c r="V28" s="123">
        <f t="shared" si="22"/>
        <v>0</v>
      </c>
      <c r="W28" s="101"/>
      <c r="X28" s="101"/>
      <c r="Y28" s="101"/>
      <c r="Z28" s="101"/>
      <c r="AA28" s="328">
        <f>5*15*130</f>
        <v>9750</v>
      </c>
      <c r="AB28" s="328"/>
      <c r="AC28" s="328"/>
      <c r="AD28" s="328"/>
      <c r="AE28" s="328"/>
      <c r="AF28" s="328">
        <f>5*500</f>
        <v>2500</v>
      </c>
      <c r="AG28" s="328"/>
      <c r="AH28" s="328"/>
      <c r="AI28" s="328"/>
      <c r="AJ28" s="328"/>
      <c r="AK28" s="328"/>
      <c r="AL28" s="328"/>
      <c r="AM28" s="328"/>
      <c r="AN28" s="328"/>
      <c r="AO28" s="328">
        <f>5*1200</f>
        <v>6000</v>
      </c>
      <c r="AP28" s="329">
        <f t="shared" si="21"/>
        <v>18250</v>
      </c>
      <c r="AQ28" s="124"/>
    </row>
    <row r="29" spans="1:43" ht="51" x14ac:dyDescent="0.25">
      <c r="A29" s="231" t="s">
        <v>169</v>
      </c>
      <c r="B29" s="7" t="s">
        <v>41</v>
      </c>
      <c r="D29" s="101"/>
      <c r="E29" s="101"/>
      <c r="F29" s="101"/>
      <c r="G29" s="101"/>
      <c r="H29" s="101"/>
      <c r="I29" s="101"/>
      <c r="J29" s="101"/>
      <c r="K29" s="101"/>
      <c r="L29" s="101"/>
      <c r="M29" s="101"/>
      <c r="N29" s="101"/>
      <c r="O29" s="101"/>
      <c r="P29" s="101"/>
      <c r="Q29" s="101"/>
      <c r="R29" s="101"/>
      <c r="S29" s="101"/>
      <c r="T29" s="101"/>
      <c r="U29" s="101"/>
      <c r="V29" s="123">
        <f t="shared" si="22"/>
        <v>0</v>
      </c>
      <c r="W29" s="101"/>
      <c r="X29" s="101"/>
      <c r="Y29" s="101"/>
      <c r="Z29" s="101"/>
      <c r="AA29" s="101">
        <f>5*15*130+3750</f>
        <v>13500</v>
      </c>
      <c r="AB29" s="101"/>
      <c r="AC29" s="101"/>
      <c r="AD29" s="101"/>
      <c r="AE29" s="101"/>
      <c r="AF29" s="101">
        <f>5*500</f>
        <v>2500</v>
      </c>
      <c r="AG29" s="101"/>
      <c r="AH29" s="101"/>
      <c r="AI29" s="101"/>
      <c r="AJ29" s="101"/>
      <c r="AK29" s="101"/>
      <c r="AL29" s="101"/>
      <c r="AM29" s="101"/>
      <c r="AN29" s="101">
        <v>5000</v>
      </c>
      <c r="AO29" s="101">
        <f>5*1200</f>
        <v>6000</v>
      </c>
      <c r="AP29" s="123">
        <f t="shared" si="21"/>
        <v>27000</v>
      </c>
      <c r="AQ29" s="124"/>
    </row>
    <row r="30" spans="1:43" x14ac:dyDescent="0.25">
      <c r="A30" s="519" t="s">
        <v>44</v>
      </c>
      <c r="B30" s="520"/>
      <c r="C30" s="99"/>
      <c r="D30" s="125">
        <f t="shared" ref="D30:U30" si="27">SUM(D31:D45)</f>
        <v>0</v>
      </c>
      <c r="E30" s="125">
        <f t="shared" si="27"/>
        <v>3600</v>
      </c>
      <c r="F30" s="125">
        <f t="shared" si="27"/>
        <v>5200</v>
      </c>
      <c r="G30" s="125">
        <f t="shared" si="27"/>
        <v>1400</v>
      </c>
      <c r="H30" s="125">
        <f t="shared" si="27"/>
        <v>0</v>
      </c>
      <c r="I30" s="125">
        <f t="shared" si="27"/>
        <v>0</v>
      </c>
      <c r="J30" s="125">
        <f t="shared" si="27"/>
        <v>0</v>
      </c>
      <c r="K30" s="125">
        <f t="shared" si="27"/>
        <v>0</v>
      </c>
      <c r="L30" s="125">
        <f t="shared" si="27"/>
        <v>0</v>
      </c>
      <c r="M30" s="125">
        <f t="shared" si="27"/>
        <v>0</v>
      </c>
      <c r="N30" s="125">
        <f t="shared" si="27"/>
        <v>8350</v>
      </c>
      <c r="O30" s="125">
        <f t="shared" si="27"/>
        <v>0</v>
      </c>
      <c r="P30" s="125">
        <f t="shared" si="27"/>
        <v>0</v>
      </c>
      <c r="Q30" s="125">
        <f t="shared" si="27"/>
        <v>0</v>
      </c>
      <c r="R30" s="125">
        <f t="shared" si="27"/>
        <v>0</v>
      </c>
      <c r="S30" s="125">
        <f t="shared" si="27"/>
        <v>0</v>
      </c>
      <c r="T30" s="125">
        <f t="shared" si="27"/>
        <v>200</v>
      </c>
      <c r="U30" s="125">
        <f t="shared" si="27"/>
        <v>0</v>
      </c>
      <c r="V30" s="123">
        <f>SUM(D30:U30)</f>
        <v>18750</v>
      </c>
      <c r="W30" s="125"/>
      <c r="X30" s="125">
        <f t="shared" ref="X30:AO30" si="28">SUM(X31:X45)</f>
        <v>69600</v>
      </c>
      <c r="Y30" s="125">
        <f t="shared" si="28"/>
        <v>43200</v>
      </c>
      <c r="Z30" s="125">
        <f t="shared" si="28"/>
        <v>112800</v>
      </c>
      <c r="AA30" s="125">
        <f t="shared" si="28"/>
        <v>45340</v>
      </c>
      <c r="AB30" s="125">
        <f t="shared" si="28"/>
        <v>0</v>
      </c>
      <c r="AC30" s="125">
        <f t="shared" si="28"/>
        <v>0</v>
      </c>
      <c r="AD30" s="125">
        <f t="shared" si="28"/>
        <v>0</v>
      </c>
      <c r="AE30" s="125">
        <f t="shared" si="28"/>
        <v>0</v>
      </c>
      <c r="AF30" s="125">
        <f t="shared" si="28"/>
        <v>0</v>
      </c>
      <c r="AG30" s="125">
        <f t="shared" si="28"/>
        <v>0</v>
      </c>
      <c r="AH30" s="125">
        <f t="shared" si="28"/>
        <v>54400</v>
      </c>
      <c r="AI30" s="125">
        <f t="shared" si="28"/>
        <v>0</v>
      </c>
      <c r="AJ30" s="125">
        <f t="shared" si="28"/>
        <v>0</v>
      </c>
      <c r="AK30" s="125">
        <f t="shared" si="28"/>
        <v>0</v>
      </c>
      <c r="AL30" s="125">
        <f t="shared" si="28"/>
        <v>0</v>
      </c>
      <c r="AM30" s="125">
        <f t="shared" si="28"/>
        <v>0</v>
      </c>
      <c r="AN30" s="125">
        <f t="shared" si="28"/>
        <v>3000</v>
      </c>
      <c r="AO30" s="125">
        <f t="shared" si="28"/>
        <v>0</v>
      </c>
      <c r="AP30" s="123">
        <f t="shared" si="21"/>
        <v>328340</v>
      </c>
      <c r="AQ30" s="124">
        <f>AP30+V30</f>
        <v>347090</v>
      </c>
    </row>
    <row r="31" spans="1:43" ht="38.25" x14ac:dyDescent="0.25">
      <c r="A31" s="11" t="s">
        <v>48</v>
      </c>
      <c r="B31" s="11" t="s">
        <v>42</v>
      </c>
      <c r="D31" s="101"/>
      <c r="E31" s="101"/>
      <c r="F31" s="101"/>
      <c r="G31" s="101"/>
      <c r="H31" s="101"/>
      <c r="I31" s="101"/>
      <c r="J31" s="101"/>
      <c r="K31" s="101"/>
      <c r="L31" s="101"/>
      <c r="M31" s="101"/>
      <c r="N31" s="101"/>
      <c r="O31" s="101"/>
      <c r="P31" s="101"/>
      <c r="Q31" s="101"/>
      <c r="R31" s="101"/>
      <c r="S31" s="101"/>
      <c r="T31" s="101"/>
      <c r="U31" s="101"/>
      <c r="V31" s="123"/>
      <c r="W31" s="101"/>
      <c r="X31" s="101"/>
      <c r="Y31" s="101"/>
      <c r="Z31" s="101"/>
      <c r="AA31" s="101"/>
      <c r="AB31" s="101"/>
      <c r="AC31" s="101"/>
      <c r="AD31" s="101"/>
      <c r="AE31" s="101"/>
      <c r="AF31" s="101"/>
      <c r="AG31" s="101"/>
      <c r="AH31" s="101"/>
      <c r="AI31" s="101"/>
      <c r="AJ31" s="101"/>
      <c r="AK31" s="101"/>
      <c r="AL31" s="101"/>
      <c r="AM31" s="101"/>
      <c r="AN31" s="101"/>
      <c r="AO31" s="101"/>
      <c r="AP31" s="123" t="s">
        <v>90</v>
      </c>
      <c r="AQ31" s="124"/>
    </row>
    <row r="32" spans="1:43" hidden="1" x14ac:dyDescent="0.25">
      <c r="A32" s="100"/>
      <c r="B32" s="97" t="s">
        <v>108</v>
      </c>
      <c r="D32" s="101"/>
      <c r="E32" s="101"/>
      <c r="F32" s="101"/>
      <c r="G32" s="101"/>
      <c r="H32" s="101"/>
      <c r="I32" s="101"/>
      <c r="J32" s="101"/>
      <c r="K32" s="101"/>
      <c r="L32" s="101"/>
      <c r="M32" s="101"/>
      <c r="N32" s="101">
        <f>2800*2</f>
        <v>5600</v>
      </c>
      <c r="O32" s="101"/>
      <c r="P32" s="101"/>
      <c r="Q32" s="101"/>
      <c r="R32" s="101"/>
      <c r="S32" s="101"/>
      <c r="T32" s="101"/>
      <c r="U32" s="101"/>
      <c r="V32" s="123"/>
      <c r="W32" s="101"/>
      <c r="X32" s="101"/>
      <c r="Y32" s="101"/>
      <c r="Z32" s="101"/>
      <c r="AA32" s="101"/>
      <c r="AB32" s="101"/>
      <c r="AC32" s="101"/>
      <c r="AD32" s="101"/>
      <c r="AE32" s="101"/>
      <c r="AF32" s="101"/>
      <c r="AG32" s="101"/>
      <c r="AH32" s="101">
        <f>2800*12</f>
        <v>33600</v>
      </c>
      <c r="AI32" s="101"/>
      <c r="AJ32" s="101"/>
      <c r="AK32" s="101"/>
      <c r="AL32" s="101"/>
      <c r="AM32" s="101"/>
      <c r="AN32" s="101"/>
      <c r="AO32" s="101"/>
      <c r="AP32" s="123" t="s">
        <v>90</v>
      </c>
      <c r="AQ32" s="124"/>
    </row>
    <row r="33" spans="1:43" hidden="1" x14ac:dyDescent="0.25">
      <c r="A33" s="100"/>
      <c r="B33" s="119" t="s">
        <v>109</v>
      </c>
      <c r="D33" s="101"/>
      <c r="E33" s="101"/>
      <c r="F33" s="101"/>
      <c r="G33" s="101"/>
      <c r="H33" s="101"/>
      <c r="I33" s="101"/>
      <c r="J33" s="101"/>
      <c r="K33" s="101"/>
      <c r="L33" s="101"/>
      <c r="M33" s="101"/>
      <c r="N33" s="101"/>
      <c r="O33" s="101"/>
      <c r="P33" s="101"/>
      <c r="Q33" s="101"/>
      <c r="R33" s="101"/>
      <c r="S33" s="101"/>
      <c r="T33" s="101"/>
      <c r="U33" s="101"/>
      <c r="V33" s="123"/>
      <c r="W33" s="101"/>
      <c r="X33" s="101"/>
      <c r="Y33" s="101"/>
      <c r="Z33" s="101">
        <f>2000*12</f>
        <v>24000</v>
      </c>
      <c r="AA33" s="101">
        <f>130*12</f>
        <v>1560</v>
      </c>
      <c r="AB33" s="101"/>
      <c r="AC33" s="101"/>
      <c r="AD33" s="101"/>
      <c r="AE33" s="101"/>
      <c r="AF33" s="101"/>
      <c r="AG33" s="101"/>
      <c r="AH33" s="101"/>
      <c r="AI33" s="101"/>
      <c r="AJ33" s="101"/>
      <c r="AK33" s="101"/>
      <c r="AL33" s="101"/>
      <c r="AM33" s="101"/>
      <c r="AN33" s="101"/>
      <c r="AO33" s="101"/>
      <c r="AP33" s="123"/>
      <c r="AQ33" s="124"/>
    </row>
    <row r="34" spans="1:43" hidden="1" x14ac:dyDescent="0.25">
      <c r="A34" s="100"/>
      <c r="B34" s="119" t="s">
        <v>124</v>
      </c>
      <c r="D34" s="101"/>
      <c r="E34" s="101"/>
      <c r="F34" s="101"/>
      <c r="G34" s="101"/>
      <c r="H34" s="101"/>
      <c r="I34" s="101"/>
      <c r="J34" s="101"/>
      <c r="K34" s="101"/>
      <c r="L34" s="101"/>
      <c r="M34" s="101"/>
      <c r="N34" s="101"/>
      <c r="O34" s="101"/>
      <c r="P34" s="101"/>
      <c r="Q34" s="101"/>
      <c r="R34" s="101"/>
      <c r="S34" s="101"/>
      <c r="T34" s="101"/>
      <c r="U34" s="101"/>
      <c r="V34" s="123"/>
      <c r="W34" s="101"/>
      <c r="X34" s="101"/>
      <c r="Y34" s="101"/>
      <c r="Z34" s="101">
        <f>4800*12</f>
        <v>57600</v>
      </c>
      <c r="AA34" s="101">
        <f>130*24</f>
        <v>3120</v>
      </c>
      <c r="AB34" s="101"/>
      <c r="AC34" s="101"/>
      <c r="AD34" s="101"/>
      <c r="AE34" s="101"/>
      <c r="AF34" s="101"/>
      <c r="AG34" s="101"/>
      <c r="AH34" s="101"/>
      <c r="AI34" s="101"/>
      <c r="AJ34" s="101"/>
      <c r="AK34" s="101"/>
      <c r="AL34" s="101"/>
      <c r="AM34" s="101"/>
      <c r="AN34" s="101"/>
      <c r="AO34" s="101"/>
      <c r="AP34" s="123"/>
      <c r="AQ34" s="124"/>
    </row>
    <row r="35" spans="1:43" s="116" customFormat="1" hidden="1" x14ac:dyDescent="0.25">
      <c r="A35" s="100"/>
      <c r="B35" s="119" t="s">
        <v>125</v>
      </c>
      <c r="D35" s="101"/>
      <c r="E35" s="101">
        <v>3600</v>
      </c>
      <c r="F35" s="101"/>
      <c r="G35" s="101"/>
      <c r="H35" s="101"/>
      <c r="I35" s="101"/>
      <c r="J35" s="101"/>
      <c r="K35" s="101"/>
      <c r="L35" s="101"/>
      <c r="M35" s="101"/>
      <c r="N35" s="101"/>
      <c r="O35" s="101"/>
      <c r="P35" s="101"/>
      <c r="Q35" s="101"/>
      <c r="R35" s="101"/>
      <c r="S35" s="101"/>
      <c r="T35" s="101"/>
      <c r="U35" s="101"/>
      <c r="V35" s="123"/>
      <c r="W35" s="101"/>
      <c r="X35" s="101"/>
      <c r="Y35" s="101">
        <f>3600*12</f>
        <v>43200</v>
      </c>
      <c r="Z35" s="101"/>
      <c r="AA35" s="101">
        <f>(18+5+6)*130*2</f>
        <v>7540</v>
      </c>
      <c r="AB35" s="101"/>
      <c r="AC35" s="101"/>
      <c r="AD35" s="101"/>
      <c r="AE35" s="101"/>
      <c r="AF35" s="101"/>
      <c r="AG35" s="101"/>
      <c r="AH35" s="101"/>
      <c r="AI35" s="101"/>
      <c r="AJ35" s="101"/>
      <c r="AK35" s="101"/>
      <c r="AL35" s="101"/>
      <c r="AM35" s="101"/>
      <c r="AN35" s="101"/>
      <c r="AO35" s="101"/>
      <c r="AP35" s="123"/>
      <c r="AQ35" s="124"/>
    </row>
    <row r="36" spans="1:43" hidden="1" x14ac:dyDescent="0.25">
      <c r="A36" s="100"/>
      <c r="B36" s="119" t="s">
        <v>110</v>
      </c>
      <c r="D36" s="101"/>
      <c r="E36" s="101"/>
      <c r="F36" s="101"/>
      <c r="G36" s="101"/>
      <c r="H36" s="101"/>
      <c r="I36" s="101"/>
      <c r="J36" s="101"/>
      <c r="K36" s="101"/>
      <c r="L36" s="101"/>
      <c r="M36" s="101"/>
      <c r="N36" s="101"/>
      <c r="O36" s="101"/>
      <c r="P36" s="101"/>
      <c r="Q36" s="101"/>
      <c r="R36" s="101"/>
      <c r="S36" s="101"/>
      <c r="T36" s="101"/>
      <c r="U36" s="101"/>
      <c r="V36" s="123"/>
      <c r="W36" s="101"/>
      <c r="X36" s="101">
        <f>5800*12</f>
        <v>69600</v>
      </c>
      <c r="Y36" s="101"/>
      <c r="Z36" s="101"/>
      <c r="AA36" s="101">
        <f>(18+5+6)*130*2</f>
        <v>7540</v>
      </c>
      <c r="AB36" s="101"/>
      <c r="AC36" s="101"/>
      <c r="AD36" s="101"/>
      <c r="AE36" s="101"/>
      <c r="AF36" s="101"/>
      <c r="AG36" s="101"/>
      <c r="AH36" s="101"/>
      <c r="AI36" s="101"/>
      <c r="AJ36" s="101"/>
      <c r="AK36" s="101"/>
      <c r="AL36" s="101"/>
      <c r="AM36" s="101"/>
      <c r="AN36" s="101"/>
      <c r="AO36" s="101"/>
      <c r="AP36" s="123"/>
      <c r="AQ36" s="124"/>
    </row>
    <row r="37" spans="1:43" s="116" customFormat="1" hidden="1" x14ac:dyDescent="0.25">
      <c r="A37" s="100"/>
      <c r="B37" s="119" t="s">
        <v>126</v>
      </c>
      <c r="D37" s="101"/>
      <c r="E37" s="101"/>
      <c r="F37" s="101">
        <f>2600*2</f>
        <v>5200</v>
      </c>
      <c r="G37" s="101"/>
      <c r="H37" s="101"/>
      <c r="I37" s="101"/>
      <c r="J37" s="101"/>
      <c r="K37" s="101"/>
      <c r="L37" s="101"/>
      <c r="M37" s="101"/>
      <c r="N37" s="101"/>
      <c r="O37" s="101"/>
      <c r="P37" s="101"/>
      <c r="Q37" s="101"/>
      <c r="R37" s="101"/>
      <c r="S37" s="101"/>
      <c r="T37" s="101"/>
      <c r="U37" s="101"/>
      <c r="V37" s="123"/>
      <c r="W37" s="101"/>
      <c r="X37" s="101"/>
      <c r="Y37" s="101"/>
      <c r="Z37" s="101">
        <f>2600*12</f>
        <v>31200</v>
      </c>
      <c r="AA37" s="101">
        <f>(18+5+6)*130*2</f>
        <v>7540</v>
      </c>
      <c r="AB37" s="101"/>
      <c r="AC37" s="101"/>
      <c r="AD37" s="101"/>
      <c r="AE37" s="101"/>
      <c r="AF37" s="101"/>
      <c r="AG37" s="101"/>
      <c r="AH37" s="101"/>
      <c r="AI37" s="101"/>
      <c r="AJ37" s="101"/>
      <c r="AK37" s="101"/>
      <c r="AL37" s="101"/>
      <c r="AM37" s="101"/>
      <c r="AN37" s="101"/>
      <c r="AO37" s="101"/>
      <c r="AP37" s="123"/>
      <c r="AQ37" s="124"/>
    </row>
    <row r="38" spans="1:43" hidden="1" x14ac:dyDescent="0.25">
      <c r="A38" s="100"/>
      <c r="B38" s="119" t="s">
        <v>111</v>
      </c>
      <c r="D38" s="101"/>
      <c r="E38" s="101"/>
      <c r="F38" s="101"/>
      <c r="G38" s="101"/>
      <c r="H38" s="101"/>
      <c r="I38" s="101"/>
      <c r="J38" s="101"/>
      <c r="K38" s="101"/>
      <c r="L38" s="101"/>
      <c r="M38" s="101"/>
      <c r="N38" s="101">
        <f>500</f>
        <v>500</v>
      </c>
      <c r="O38" s="101"/>
      <c r="P38" s="101"/>
      <c r="Q38" s="101"/>
      <c r="R38" s="101"/>
      <c r="S38" s="101"/>
      <c r="T38" s="101"/>
      <c r="U38" s="101"/>
      <c r="V38" s="123"/>
      <c r="W38" s="101"/>
      <c r="X38" s="101"/>
      <c r="Y38" s="101"/>
      <c r="Z38" s="101"/>
      <c r="AA38" s="101"/>
      <c r="AB38" s="101"/>
      <c r="AC38" s="101"/>
      <c r="AD38" s="101"/>
      <c r="AE38" s="101"/>
      <c r="AF38" s="101"/>
      <c r="AG38" s="101"/>
      <c r="AH38" s="101">
        <f>2500</f>
        <v>2500</v>
      </c>
      <c r="AI38" s="101"/>
      <c r="AJ38" s="101"/>
      <c r="AK38" s="101"/>
      <c r="AL38" s="101"/>
      <c r="AM38" s="101"/>
      <c r="AN38" s="101"/>
      <c r="AO38" s="101"/>
      <c r="AP38" s="123"/>
      <c r="AQ38" s="124"/>
    </row>
    <row r="39" spans="1:43" hidden="1" x14ac:dyDescent="0.25">
      <c r="A39" s="100"/>
      <c r="B39" s="119" t="s">
        <v>112</v>
      </c>
      <c r="D39" s="101"/>
      <c r="E39" s="101"/>
      <c r="F39" s="101"/>
      <c r="G39" s="101"/>
      <c r="H39" s="101"/>
      <c r="I39" s="101"/>
      <c r="J39" s="101"/>
      <c r="K39" s="101"/>
      <c r="L39" s="101"/>
      <c r="M39" s="101"/>
      <c r="N39" s="101">
        <f>700*2</f>
        <v>1400</v>
      </c>
      <c r="O39" s="101"/>
      <c r="P39" s="101"/>
      <c r="Q39" s="101"/>
      <c r="R39" s="101"/>
      <c r="S39" s="101"/>
      <c r="T39" s="101"/>
      <c r="U39" s="101"/>
      <c r="V39" s="123"/>
      <c r="W39" s="101"/>
      <c r="X39" s="101"/>
      <c r="Y39" s="101"/>
      <c r="Z39" s="101"/>
      <c r="AA39" s="101"/>
      <c r="AB39" s="101"/>
      <c r="AC39" s="101"/>
      <c r="AD39" s="101"/>
      <c r="AE39" s="101"/>
      <c r="AF39" s="101"/>
      <c r="AG39" s="101"/>
      <c r="AH39" s="101">
        <f>700*12</f>
        <v>8400</v>
      </c>
      <c r="AI39" s="101"/>
      <c r="AJ39" s="101"/>
      <c r="AK39" s="101"/>
      <c r="AL39" s="101"/>
      <c r="AM39" s="101"/>
      <c r="AN39" s="101"/>
      <c r="AO39" s="101"/>
      <c r="AP39" s="123"/>
      <c r="AQ39" s="124"/>
    </row>
    <row r="40" spans="1:43" hidden="1" x14ac:dyDescent="0.25">
      <c r="A40" s="100"/>
      <c r="B40" s="119" t="s">
        <v>113</v>
      </c>
      <c r="D40" s="101"/>
      <c r="E40" s="101"/>
      <c r="F40" s="101"/>
      <c r="G40" s="101"/>
      <c r="H40" s="101"/>
      <c r="I40" s="101"/>
      <c r="J40" s="101"/>
      <c r="K40" s="101"/>
      <c r="L40" s="101"/>
      <c r="M40" s="101"/>
      <c r="N40" s="101">
        <f>800</f>
        <v>800</v>
      </c>
      <c r="O40" s="101"/>
      <c r="P40" s="101"/>
      <c r="Q40" s="101"/>
      <c r="R40" s="101"/>
      <c r="S40" s="101"/>
      <c r="T40" s="101"/>
      <c r="U40" s="101"/>
      <c r="V40" s="123"/>
      <c r="W40" s="101"/>
      <c r="X40" s="101"/>
      <c r="Y40" s="101"/>
      <c r="Z40" s="101"/>
      <c r="AA40" s="101"/>
      <c r="AB40" s="101"/>
      <c r="AC40" s="101"/>
      <c r="AD40" s="101"/>
      <c r="AE40" s="101"/>
      <c r="AF40" s="101"/>
      <c r="AG40" s="101"/>
      <c r="AH40" s="101">
        <f>800*12</f>
        <v>9600</v>
      </c>
      <c r="AI40" s="101"/>
      <c r="AJ40" s="101"/>
      <c r="AK40" s="101"/>
      <c r="AL40" s="101"/>
      <c r="AM40" s="101"/>
      <c r="AN40" s="101"/>
      <c r="AO40" s="101"/>
      <c r="AP40" s="123"/>
      <c r="AQ40" s="124"/>
    </row>
    <row r="41" spans="1:43" hidden="1" x14ac:dyDescent="0.25">
      <c r="A41" s="100"/>
      <c r="B41" s="119" t="s">
        <v>114</v>
      </c>
      <c r="D41" s="101"/>
      <c r="E41" s="101"/>
      <c r="F41" s="101"/>
      <c r="G41" s="101"/>
      <c r="H41" s="101"/>
      <c r="I41" s="101"/>
      <c r="J41" s="101"/>
      <c r="K41" s="101"/>
      <c r="L41" s="101"/>
      <c r="M41" s="101"/>
      <c r="N41" s="101">
        <f>25*2</f>
        <v>50</v>
      </c>
      <c r="O41" s="101"/>
      <c r="P41" s="101"/>
      <c r="Q41" s="101"/>
      <c r="R41" s="101"/>
      <c r="S41" s="101"/>
      <c r="T41" s="101"/>
      <c r="U41" s="101"/>
      <c r="V41" s="123"/>
      <c r="W41" s="101"/>
      <c r="X41" s="101"/>
      <c r="Y41" s="101"/>
      <c r="Z41" s="101"/>
      <c r="AA41" s="101"/>
      <c r="AB41" s="101"/>
      <c r="AC41" s="101"/>
      <c r="AD41" s="101"/>
      <c r="AE41" s="101"/>
      <c r="AF41" s="101"/>
      <c r="AG41" s="101"/>
      <c r="AH41" s="101">
        <f>25*12</f>
        <v>300</v>
      </c>
      <c r="AI41" s="101"/>
      <c r="AJ41" s="101"/>
      <c r="AK41" s="101"/>
      <c r="AL41" s="101"/>
      <c r="AM41" s="101"/>
      <c r="AN41" s="101"/>
      <c r="AO41" s="101"/>
      <c r="AP41" s="123"/>
      <c r="AQ41" s="124"/>
    </row>
    <row r="42" spans="1:43" s="116" customFormat="1" hidden="1" x14ac:dyDescent="0.25">
      <c r="A42" s="100"/>
      <c r="B42" s="119" t="s">
        <v>128</v>
      </c>
      <c r="D42" s="101"/>
      <c r="E42" s="101"/>
      <c r="F42" s="101"/>
      <c r="H42" s="101"/>
      <c r="I42" s="101"/>
      <c r="J42" s="101"/>
      <c r="K42" s="101"/>
      <c r="L42" s="101"/>
      <c r="M42" s="101"/>
      <c r="N42" s="101"/>
      <c r="O42" s="101"/>
      <c r="P42" s="101"/>
      <c r="Q42" s="101"/>
      <c r="R42" s="101"/>
      <c r="S42" s="101"/>
      <c r="T42" s="101"/>
      <c r="U42" s="101"/>
      <c r="V42" s="123"/>
      <c r="W42" s="101"/>
      <c r="X42" s="101"/>
      <c r="Y42" s="101"/>
      <c r="Z42" s="101"/>
      <c r="AA42" s="101">
        <f>130*36</f>
        <v>4680</v>
      </c>
      <c r="AB42" s="101"/>
      <c r="AC42" s="101"/>
      <c r="AD42" s="101"/>
      <c r="AE42" s="101"/>
      <c r="AF42" s="101"/>
      <c r="AG42" s="101"/>
      <c r="AH42" s="101"/>
      <c r="AI42" s="101"/>
      <c r="AJ42" s="101"/>
      <c r="AK42" s="101"/>
      <c r="AL42" s="101"/>
      <c r="AM42" s="101"/>
      <c r="AN42" s="101"/>
      <c r="AO42" s="101"/>
      <c r="AP42" s="123"/>
      <c r="AQ42" s="124"/>
    </row>
    <row r="43" spans="1:43" s="116" customFormat="1" hidden="1" x14ac:dyDescent="0.25">
      <c r="A43" s="100"/>
      <c r="B43" s="119" t="s">
        <v>129</v>
      </c>
      <c r="D43" s="101"/>
      <c r="E43" s="101"/>
      <c r="F43" s="101"/>
      <c r="H43" s="101"/>
      <c r="I43" s="101"/>
      <c r="J43" s="101"/>
      <c r="K43" s="101"/>
      <c r="L43" s="101"/>
      <c r="M43" s="101"/>
      <c r="N43" s="101"/>
      <c r="O43" s="101"/>
      <c r="P43" s="101"/>
      <c r="Q43" s="101"/>
      <c r="R43" s="101"/>
      <c r="S43" s="101"/>
      <c r="T43" s="101"/>
      <c r="U43" s="101"/>
      <c r="V43" s="123"/>
      <c r="W43" s="101"/>
      <c r="X43" s="101"/>
      <c r="Y43" s="101"/>
      <c r="Z43" s="101"/>
      <c r="AA43" s="101">
        <v>10000</v>
      </c>
      <c r="AB43" s="101"/>
      <c r="AC43" s="101"/>
      <c r="AD43" s="101"/>
      <c r="AE43" s="101"/>
      <c r="AF43" s="101"/>
      <c r="AG43" s="101"/>
      <c r="AH43" s="101"/>
      <c r="AI43" s="101"/>
      <c r="AJ43" s="101"/>
      <c r="AK43" s="101"/>
      <c r="AL43" s="101"/>
      <c r="AM43" s="101"/>
      <c r="AN43" s="101"/>
      <c r="AO43" s="101"/>
      <c r="AP43" s="123"/>
      <c r="AQ43" s="124"/>
    </row>
    <row r="44" spans="1:43" hidden="1" x14ac:dyDescent="0.25">
      <c r="A44" s="100"/>
      <c r="B44" s="119" t="s">
        <v>115</v>
      </c>
      <c r="D44" s="101"/>
      <c r="E44" s="101"/>
      <c r="F44" s="101"/>
      <c r="G44" s="101">
        <f>140*10</f>
        <v>1400</v>
      </c>
      <c r="H44" s="101"/>
      <c r="I44" s="101"/>
      <c r="J44" s="101"/>
      <c r="K44" s="101"/>
      <c r="L44" s="101"/>
      <c r="M44" s="101"/>
      <c r="N44" s="101"/>
      <c r="O44" s="101"/>
      <c r="P44" s="101"/>
      <c r="Q44" s="101"/>
      <c r="R44" s="101"/>
      <c r="S44" s="101"/>
      <c r="T44" s="101"/>
      <c r="U44" s="101"/>
      <c r="V44" s="123"/>
      <c r="W44" s="101"/>
      <c r="X44" s="101"/>
      <c r="Y44" s="101"/>
      <c r="Z44" s="101"/>
      <c r="AA44" s="101">
        <f>140*24</f>
        <v>3360</v>
      </c>
      <c r="AB44" s="101"/>
      <c r="AC44" s="101"/>
      <c r="AD44" s="101"/>
      <c r="AE44" s="101"/>
      <c r="AF44" s="101"/>
      <c r="AG44" s="101"/>
      <c r="AH44" s="101"/>
      <c r="AI44" s="101"/>
      <c r="AJ44" s="101"/>
      <c r="AK44" s="101"/>
      <c r="AL44" s="101"/>
      <c r="AM44" s="101"/>
      <c r="AN44" s="101"/>
      <c r="AO44" s="101"/>
      <c r="AP44" s="123"/>
      <c r="AQ44" s="124"/>
    </row>
    <row r="45" spans="1:43" ht="15.75" hidden="1" thickBot="1" x14ac:dyDescent="0.3">
      <c r="A45" s="100"/>
      <c r="B45" s="120" t="s">
        <v>116</v>
      </c>
      <c r="D45" s="101"/>
      <c r="E45" s="101"/>
      <c r="F45" s="101"/>
      <c r="G45" s="101"/>
      <c r="H45" s="101"/>
      <c r="I45" s="101"/>
      <c r="J45" s="101"/>
      <c r="K45" s="101"/>
      <c r="L45" s="101"/>
      <c r="M45" s="101"/>
      <c r="N45" s="101"/>
      <c r="O45" s="101"/>
      <c r="P45" s="101"/>
      <c r="Q45" s="101"/>
      <c r="R45" s="101"/>
      <c r="S45" s="101"/>
      <c r="T45" s="101">
        <f>100*2</f>
        <v>200</v>
      </c>
      <c r="U45" s="101"/>
      <c r="V45" s="123"/>
      <c r="W45" s="101"/>
      <c r="X45" s="101"/>
      <c r="Y45" s="101"/>
      <c r="Z45" s="101"/>
      <c r="AA45" s="101"/>
      <c r="AB45" s="101"/>
      <c r="AC45" s="101"/>
      <c r="AD45" s="101"/>
      <c r="AE45" s="101"/>
      <c r="AF45" s="101"/>
      <c r="AG45" s="101"/>
      <c r="AH45" s="101"/>
      <c r="AI45" s="101"/>
      <c r="AJ45" s="101"/>
      <c r="AK45" s="101"/>
      <c r="AL45" s="101"/>
      <c r="AM45" s="101"/>
      <c r="AN45" s="101">
        <f>250*12</f>
        <v>3000</v>
      </c>
      <c r="AO45" s="101"/>
      <c r="AP45" s="123"/>
      <c r="AQ45" s="124"/>
    </row>
    <row r="46" spans="1:43" s="223" customFormat="1" x14ac:dyDescent="0.25">
      <c r="A46" s="100" t="s">
        <v>231</v>
      </c>
      <c r="B46" s="271"/>
      <c r="D46" s="101"/>
      <c r="E46" s="101"/>
      <c r="F46" s="101"/>
      <c r="G46" s="101"/>
      <c r="H46" s="101"/>
      <c r="I46" s="101"/>
      <c r="J46" s="101"/>
      <c r="K46" s="101"/>
      <c r="L46" s="101"/>
      <c r="M46" s="101"/>
      <c r="N46" s="101"/>
      <c r="O46" s="101"/>
      <c r="P46" s="101"/>
      <c r="Q46" s="101"/>
      <c r="R46" s="101"/>
      <c r="S46" s="101"/>
      <c r="T46" s="101"/>
      <c r="U46" s="101"/>
      <c r="V46" s="123"/>
      <c r="W46" s="101"/>
      <c r="X46" s="101"/>
      <c r="Y46" s="101"/>
      <c r="Z46" s="101"/>
      <c r="AA46" s="101"/>
      <c r="AB46" s="101"/>
      <c r="AC46" s="101"/>
      <c r="AD46" s="101"/>
      <c r="AE46" s="101"/>
      <c r="AF46" s="101"/>
      <c r="AG46" s="101"/>
      <c r="AH46" s="101"/>
      <c r="AI46" s="101"/>
      <c r="AJ46" s="101"/>
      <c r="AK46" s="101"/>
      <c r="AL46" s="101"/>
      <c r="AM46" s="101"/>
      <c r="AN46" s="101"/>
      <c r="AO46" s="101"/>
      <c r="AP46" s="123"/>
      <c r="AQ46" s="124"/>
    </row>
    <row r="47" spans="1:43" ht="46.5" customHeight="1" x14ac:dyDescent="0.25">
      <c r="A47" s="515" t="s">
        <v>58</v>
      </c>
      <c r="B47" s="516"/>
      <c r="C47" s="98"/>
      <c r="D47" s="122">
        <f>D48</f>
        <v>0</v>
      </c>
      <c r="E47" s="122">
        <f t="shared" ref="E47:U47" si="29">E48</f>
        <v>0</v>
      </c>
      <c r="F47" s="122">
        <f t="shared" si="29"/>
        <v>0</v>
      </c>
      <c r="G47" s="122">
        <f t="shared" si="29"/>
        <v>0</v>
      </c>
      <c r="H47" s="122">
        <f t="shared" si="29"/>
        <v>0</v>
      </c>
      <c r="I47" s="122">
        <f t="shared" si="29"/>
        <v>0</v>
      </c>
      <c r="J47" s="122">
        <f t="shared" si="29"/>
        <v>0</v>
      </c>
      <c r="K47" s="122">
        <f t="shared" si="29"/>
        <v>0</v>
      </c>
      <c r="L47" s="122">
        <f t="shared" si="29"/>
        <v>0</v>
      </c>
      <c r="M47" s="122">
        <f t="shared" si="29"/>
        <v>0</v>
      </c>
      <c r="N47" s="122">
        <f t="shared" si="29"/>
        <v>0</v>
      </c>
      <c r="O47" s="122">
        <f t="shared" si="29"/>
        <v>0</v>
      </c>
      <c r="P47" s="122">
        <f t="shared" si="29"/>
        <v>0</v>
      </c>
      <c r="Q47" s="122">
        <f t="shared" si="29"/>
        <v>0</v>
      </c>
      <c r="R47" s="122">
        <f t="shared" si="29"/>
        <v>0</v>
      </c>
      <c r="S47" s="122">
        <f t="shared" si="29"/>
        <v>0</v>
      </c>
      <c r="T47" s="122">
        <f t="shared" si="29"/>
        <v>0</v>
      </c>
      <c r="U47" s="122">
        <f t="shared" si="29"/>
        <v>0</v>
      </c>
      <c r="V47" s="123">
        <f>SUM(D47:U47)</f>
        <v>0</v>
      </c>
      <c r="W47" s="122"/>
      <c r="X47" s="122">
        <f>X48</f>
        <v>0</v>
      </c>
      <c r="Y47" s="122">
        <f t="shared" ref="Y47" si="30">Y48</f>
        <v>0</v>
      </c>
      <c r="Z47" s="122">
        <f t="shared" ref="Z47" si="31">Z48</f>
        <v>0</v>
      </c>
      <c r="AA47" s="122">
        <f t="shared" ref="AA47" si="32">AA48</f>
        <v>0</v>
      </c>
      <c r="AB47" s="122">
        <f t="shared" ref="AB47" si="33">AB48</f>
        <v>0</v>
      </c>
      <c r="AC47" s="122">
        <f t="shared" ref="AC47" si="34">AC48</f>
        <v>0</v>
      </c>
      <c r="AD47" s="122">
        <f t="shared" ref="AD47" si="35">AD48</f>
        <v>0</v>
      </c>
      <c r="AE47" s="122">
        <f t="shared" ref="AE47" si="36">AE48</f>
        <v>0</v>
      </c>
      <c r="AF47" s="122">
        <f t="shared" ref="AF47" si="37">AF48</f>
        <v>0</v>
      </c>
      <c r="AG47" s="122">
        <f t="shared" ref="AG47" si="38">AG48</f>
        <v>0</v>
      </c>
      <c r="AH47" s="122">
        <f t="shared" ref="AH47" si="39">AH48</f>
        <v>0</v>
      </c>
      <c r="AI47" s="122">
        <f t="shared" ref="AI47" si="40">AI48</f>
        <v>0</v>
      </c>
      <c r="AJ47" s="122">
        <f t="shared" ref="AJ47" si="41">AJ48</f>
        <v>0</v>
      </c>
      <c r="AK47" s="122">
        <f t="shared" ref="AK47" si="42">AK48</f>
        <v>0</v>
      </c>
      <c r="AL47" s="122">
        <f t="shared" ref="AL47" si="43">AL48</f>
        <v>0</v>
      </c>
      <c r="AM47" s="122">
        <f t="shared" ref="AM47" si="44">AM48</f>
        <v>0</v>
      </c>
      <c r="AN47" s="122">
        <f t="shared" ref="AN47" si="45">AN48</f>
        <v>4229.22</v>
      </c>
      <c r="AO47" s="122">
        <f t="shared" ref="AO47" si="46">AO48</f>
        <v>6000</v>
      </c>
      <c r="AP47" s="123">
        <f t="shared" ref="AP47:AP55" si="47">SUM(X47:AO47)</f>
        <v>10229.220000000001</v>
      </c>
      <c r="AQ47" s="124">
        <f>AP47+V47</f>
        <v>10229.220000000001</v>
      </c>
    </row>
    <row r="48" spans="1:43" ht="15" customHeight="1" x14ac:dyDescent="0.25">
      <c r="A48" s="519" t="s">
        <v>76</v>
      </c>
      <c r="B48" s="520"/>
      <c r="C48" s="99"/>
      <c r="D48" s="125">
        <f t="shared" ref="D48:U48" si="48">SUM(D49:D52)</f>
        <v>0</v>
      </c>
      <c r="E48" s="125">
        <f t="shared" si="48"/>
        <v>0</v>
      </c>
      <c r="F48" s="125">
        <f t="shared" si="48"/>
        <v>0</v>
      </c>
      <c r="G48" s="125">
        <f t="shared" si="48"/>
        <v>0</v>
      </c>
      <c r="H48" s="125">
        <f t="shared" si="48"/>
        <v>0</v>
      </c>
      <c r="I48" s="125">
        <f t="shared" si="48"/>
        <v>0</v>
      </c>
      <c r="J48" s="125">
        <f t="shared" si="48"/>
        <v>0</v>
      </c>
      <c r="K48" s="125">
        <f t="shared" si="48"/>
        <v>0</v>
      </c>
      <c r="L48" s="125">
        <f t="shared" si="48"/>
        <v>0</v>
      </c>
      <c r="M48" s="125">
        <f t="shared" si="48"/>
        <v>0</v>
      </c>
      <c r="N48" s="125">
        <f t="shared" si="48"/>
        <v>0</v>
      </c>
      <c r="O48" s="125">
        <f t="shared" si="48"/>
        <v>0</v>
      </c>
      <c r="P48" s="125">
        <f t="shared" si="48"/>
        <v>0</v>
      </c>
      <c r="Q48" s="125">
        <f t="shared" si="48"/>
        <v>0</v>
      </c>
      <c r="R48" s="125">
        <f t="shared" si="48"/>
        <v>0</v>
      </c>
      <c r="S48" s="125">
        <f t="shared" si="48"/>
        <v>0</v>
      </c>
      <c r="T48" s="125">
        <f t="shared" si="48"/>
        <v>0</v>
      </c>
      <c r="U48" s="125">
        <f t="shared" si="48"/>
        <v>0</v>
      </c>
      <c r="V48" s="123">
        <f>SUM(D48:U48)</f>
        <v>0</v>
      </c>
      <c r="W48" s="125"/>
      <c r="X48" s="125">
        <f t="shared" ref="X48:AO48" si="49">SUM(X49:X52)</f>
        <v>0</v>
      </c>
      <c r="Y48" s="125">
        <f t="shared" si="49"/>
        <v>0</v>
      </c>
      <c r="Z48" s="125">
        <f t="shared" si="49"/>
        <v>0</v>
      </c>
      <c r="AA48" s="125">
        <f t="shared" si="49"/>
        <v>0</v>
      </c>
      <c r="AB48" s="125">
        <f t="shared" si="49"/>
        <v>0</v>
      </c>
      <c r="AC48" s="125">
        <f t="shared" si="49"/>
        <v>0</v>
      </c>
      <c r="AD48" s="125">
        <f t="shared" si="49"/>
        <v>0</v>
      </c>
      <c r="AE48" s="125">
        <f t="shared" si="49"/>
        <v>0</v>
      </c>
      <c r="AF48" s="125">
        <f t="shared" si="49"/>
        <v>0</v>
      </c>
      <c r="AG48" s="125">
        <f t="shared" si="49"/>
        <v>0</v>
      </c>
      <c r="AH48" s="125">
        <f t="shared" si="49"/>
        <v>0</v>
      </c>
      <c r="AI48" s="125">
        <f t="shared" si="49"/>
        <v>0</v>
      </c>
      <c r="AJ48" s="125">
        <f t="shared" si="49"/>
        <v>0</v>
      </c>
      <c r="AK48" s="125">
        <f t="shared" si="49"/>
        <v>0</v>
      </c>
      <c r="AL48" s="125">
        <f t="shared" si="49"/>
        <v>0</v>
      </c>
      <c r="AM48" s="125">
        <f t="shared" si="49"/>
        <v>0</v>
      </c>
      <c r="AN48" s="125">
        <f t="shared" si="49"/>
        <v>4229.22</v>
      </c>
      <c r="AO48" s="125">
        <f t="shared" si="49"/>
        <v>6000</v>
      </c>
      <c r="AP48" s="123">
        <f t="shared" si="47"/>
        <v>10229.220000000001</v>
      </c>
      <c r="AQ48" s="124">
        <f>AP48+V48</f>
        <v>10229.220000000001</v>
      </c>
    </row>
    <row r="49" spans="1:43" ht="38.25" x14ac:dyDescent="0.25">
      <c r="A49" s="245" t="s">
        <v>16</v>
      </c>
      <c r="B49" s="4" t="s">
        <v>11</v>
      </c>
      <c r="D49" s="101"/>
      <c r="E49" s="101"/>
      <c r="F49" s="101"/>
      <c r="G49" s="101"/>
      <c r="H49" s="101"/>
      <c r="I49" s="101"/>
      <c r="J49" s="101"/>
      <c r="K49" s="101"/>
      <c r="L49" s="101"/>
      <c r="M49" s="101"/>
      <c r="N49" s="101"/>
      <c r="O49" s="101"/>
      <c r="P49" s="101"/>
      <c r="Q49" s="101"/>
      <c r="R49" s="101"/>
      <c r="S49" s="101"/>
      <c r="T49" s="101"/>
      <c r="U49" s="101"/>
      <c r="V49" s="123"/>
      <c r="W49" s="101"/>
      <c r="X49" s="101"/>
      <c r="Y49" s="101"/>
      <c r="Z49" s="101"/>
      <c r="AA49" s="101"/>
      <c r="AB49" s="101"/>
      <c r="AC49" s="101"/>
      <c r="AD49" s="101"/>
      <c r="AE49" s="101"/>
      <c r="AF49" s="101"/>
      <c r="AG49" s="101"/>
      <c r="AH49" s="101"/>
      <c r="AI49" s="101"/>
      <c r="AJ49" s="101"/>
      <c r="AK49" s="101"/>
      <c r="AL49" s="101"/>
      <c r="AM49" s="101"/>
      <c r="AN49" s="101">
        <v>1000</v>
      </c>
      <c r="AO49" s="101">
        <v>3000</v>
      </c>
      <c r="AP49" s="123">
        <f t="shared" si="47"/>
        <v>4000</v>
      </c>
      <c r="AQ49" s="124"/>
    </row>
    <row r="50" spans="1:43" ht="51" x14ac:dyDescent="0.25">
      <c r="A50" s="237" t="s">
        <v>218</v>
      </c>
      <c r="B50" s="4" t="s">
        <v>27</v>
      </c>
      <c r="D50" s="101"/>
      <c r="E50" s="101"/>
      <c r="F50" s="101"/>
      <c r="G50" s="101"/>
      <c r="H50" s="101"/>
      <c r="I50" s="101"/>
      <c r="J50" s="101"/>
      <c r="K50" s="101"/>
      <c r="L50" s="101"/>
      <c r="M50" s="101"/>
      <c r="N50" s="101"/>
      <c r="O50" s="101"/>
      <c r="P50" s="101"/>
      <c r="Q50" s="101"/>
      <c r="R50" s="101"/>
      <c r="S50" s="101"/>
      <c r="T50" s="101"/>
      <c r="U50" s="101"/>
      <c r="V50" s="123"/>
      <c r="W50" s="101"/>
      <c r="X50" s="101"/>
      <c r="Y50" s="101"/>
      <c r="Z50" s="101"/>
      <c r="AA50" s="101"/>
      <c r="AB50" s="101"/>
      <c r="AC50" s="101"/>
      <c r="AD50" s="101"/>
      <c r="AE50" s="101"/>
      <c r="AF50" s="101"/>
      <c r="AG50" s="101"/>
      <c r="AH50" s="101"/>
      <c r="AI50" s="101"/>
      <c r="AJ50" s="101"/>
      <c r="AK50" s="101"/>
      <c r="AL50" s="101"/>
      <c r="AM50" s="101"/>
      <c r="AN50" s="101">
        <v>2200</v>
      </c>
      <c r="AO50" s="101">
        <v>3000</v>
      </c>
      <c r="AP50" s="123">
        <f t="shared" si="47"/>
        <v>5200</v>
      </c>
      <c r="AQ50" s="124"/>
    </row>
    <row r="51" spans="1:43" s="223" customFormat="1" ht="25.5" x14ac:dyDescent="0.25">
      <c r="A51" s="237" t="s">
        <v>220</v>
      </c>
      <c r="B51" s="245"/>
      <c r="D51" s="101"/>
      <c r="E51" s="101"/>
      <c r="F51" s="101"/>
      <c r="G51" s="101"/>
      <c r="H51" s="101"/>
      <c r="I51" s="101"/>
      <c r="J51" s="101"/>
      <c r="K51" s="101"/>
      <c r="L51" s="101"/>
      <c r="M51" s="101"/>
      <c r="N51" s="101"/>
      <c r="O51" s="101"/>
      <c r="P51" s="101"/>
      <c r="Q51" s="101"/>
      <c r="R51" s="101"/>
      <c r="S51" s="101"/>
      <c r="T51" s="101"/>
      <c r="U51" s="101"/>
      <c r="V51" s="123"/>
      <c r="W51" s="101"/>
      <c r="X51" s="101"/>
      <c r="Y51" s="101"/>
      <c r="Z51" s="101"/>
      <c r="AA51" s="101"/>
      <c r="AB51" s="101"/>
      <c r="AC51" s="101"/>
      <c r="AD51" s="101"/>
      <c r="AE51" s="101"/>
      <c r="AF51" s="101"/>
      <c r="AG51" s="101"/>
      <c r="AH51" s="101"/>
      <c r="AI51" s="101"/>
      <c r="AJ51" s="101"/>
      <c r="AK51" s="101"/>
      <c r="AL51" s="101"/>
      <c r="AM51" s="101"/>
      <c r="AN51" s="101"/>
      <c r="AO51" s="101"/>
      <c r="AP51" s="123"/>
      <c r="AQ51" s="124"/>
    </row>
    <row r="52" spans="1:43" ht="51.75" thickBot="1" x14ac:dyDescent="0.3">
      <c r="A52" s="226" t="s">
        <v>221</v>
      </c>
      <c r="B52" s="4" t="s">
        <v>28</v>
      </c>
      <c r="D52" s="101"/>
      <c r="E52" s="101"/>
      <c r="F52" s="101"/>
      <c r="G52" s="101"/>
      <c r="H52" s="101"/>
      <c r="I52" s="101"/>
      <c r="J52" s="101"/>
      <c r="K52" s="101"/>
      <c r="L52" s="101"/>
      <c r="M52" s="101"/>
      <c r="N52" s="101"/>
      <c r="O52" s="101"/>
      <c r="P52" s="101"/>
      <c r="Q52" s="101"/>
      <c r="R52" s="101"/>
      <c r="S52" s="101"/>
      <c r="T52" s="101"/>
      <c r="U52" s="101"/>
      <c r="V52" s="123"/>
      <c r="W52" s="101"/>
      <c r="X52" s="101"/>
      <c r="Y52" s="101"/>
      <c r="Z52" s="101"/>
      <c r="AA52" s="101"/>
      <c r="AB52" s="101"/>
      <c r="AC52" s="101"/>
      <c r="AD52" s="101"/>
      <c r="AE52" s="101"/>
      <c r="AF52" s="101"/>
      <c r="AG52" s="101"/>
      <c r="AH52" s="101"/>
      <c r="AI52" s="101"/>
      <c r="AJ52" s="101"/>
      <c r="AK52" s="101"/>
      <c r="AL52" s="101"/>
      <c r="AM52" s="101"/>
      <c r="AN52" s="101">
        <v>1029.22</v>
      </c>
      <c r="AO52" s="101"/>
      <c r="AP52" s="123">
        <f t="shared" si="47"/>
        <v>1029.22</v>
      </c>
      <c r="AQ52" s="124"/>
    </row>
    <row r="53" spans="1:43" ht="15.75" thickBot="1" x14ac:dyDescent="0.3">
      <c r="A53" s="517" t="s">
        <v>107</v>
      </c>
      <c r="B53" s="518"/>
      <c r="C53" s="102"/>
      <c r="D53" s="123">
        <f t="shared" ref="D53:U53" si="50">D47+D5</f>
        <v>0</v>
      </c>
      <c r="E53" s="123">
        <f t="shared" si="50"/>
        <v>15600</v>
      </c>
      <c r="F53" s="123">
        <f t="shared" si="50"/>
        <v>5200</v>
      </c>
      <c r="G53" s="123">
        <f t="shared" si="50"/>
        <v>9080</v>
      </c>
      <c r="H53" s="123">
        <f t="shared" si="50"/>
        <v>0</v>
      </c>
      <c r="I53" s="123">
        <f t="shared" si="50"/>
        <v>0</v>
      </c>
      <c r="J53" s="123">
        <f t="shared" si="50"/>
        <v>0</v>
      </c>
      <c r="K53" s="123">
        <f t="shared" si="50"/>
        <v>0</v>
      </c>
      <c r="L53" s="123">
        <f t="shared" si="50"/>
        <v>0</v>
      </c>
      <c r="M53" s="123">
        <f t="shared" si="50"/>
        <v>0</v>
      </c>
      <c r="N53" s="123">
        <f t="shared" si="50"/>
        <v>8350</v>
      </c>
      <c r="O53" s="123">
        <f t="shared" si="50"/>
        <v>0</v>
      </c>
      <c r="P53" s="123">
        <f t="shared" si="50"/>
        <v>0</v>
      </c>
      <c r="Q53" s="123">
        <f t="shared" si="50"/>
        <v>0</v>
      </c>
      <c r="R53" s="123">
        <f t="shared" si="50"/>
        <v>0</v>
      </c>
      <c r="S53" s="123">
        <f t="shared" si="50"/>
        <v>0</v>
      </c>
      <c r="T53" s="123">
        <f t="shared" si="50"/>
        <v>10000</v>
      </c>
      <c r="U53" s="123">
        <f t="shared" si="50"/>
        <v>20000</v>
      </c>
      <c r="V53" s="123">
        <f>SUM(D53:U53)</f>
        <v>68230</v>
      </c>
      <c r="W53" s="123"/>
      <c r="X53" s="123">
        <f t="shared" ref="X53:AO53" si="51">X47+X5</f>
        <v>69600</v>
      </c>
      <c r="Y53" s="123">
        <f t="shared" si="51"/>
        <v>141640</v>
      </c>
      <c r="Z53" s="123">
        <f t="shared" si="51"/>
        <v>112800</v>
      </c>
      <c r="AA53" s="123">
        <f t="shared" si="51"/>
        <v>104590</v>
      </c>
      <c r="AB53" s="123">
        <f t="shared" si="51"/>
        <v>10000</v>
      </c>
      <c r="AC53" s="123">
        <f t="shared" si="51"/>
        <v>4500</v>
      </c>
      <c r="AD53" s="123">
        <f t="shared" si="51"/>
        <v>0</v>
      </c>
      <c r="AE53" s="123">
        <f t="shared" si="51"/>
        <v>0</v>
      </c>
      <c r="AF53" s="123">
        <f t="shared" si="51"/>
        <v>45750</v>
      </c>
      <c r="AG53" s="123">
        <f t="shared" si="51"/>
        <v>14200</v>
      </c>
      <c r="AH53" s="123">
        <f t="shared" si="51"/>
        <v>54400</v>
      </c>
      <c r="AI53" s="123">
        <f t="shared" si="51"/>
        <v>0</v>
      </c>
      <c r="AJ53" s="123">
        <f t="shared" si="51"/>
        <v>0</v>
      </c>
      <c r="AK53" s="123">
        <f t="shared" si="51"/>
        <v>0</v>
      </c>
      <c r="AL53" s="123">
        <f t="shared" si="51"/>
        <v>0</v>
      </c>
      <c r="AM53" s="123">
        <f t="shared" si="51"/>
        <v>17000</v>
      </c>
      <c r="AN53" s="123">
        <f t="shared" si="51"/>
        <v>48954.22</v>
      </c>
      <c r="AO53" s="123">
        <f t="shared" si="51"/>
        <v>392850</v>
      </c>
      <c r="AP53" s="123">
        <f t="shared" si="47"/>
        <v>1016284.22</v>
      </c>
      <c r="AQ53" s="124">
        <f>AP53+V53</f>
        <v>1084514.22</v>
      </c>
    </row>
    <row r="54" spans="1:43" x14ac:dyDescent="0.25">
      <c r="A54" s="109" t="s">
        <v>98</v>
      </c>
      <c r="B54" s="103"/>
      <c r="C54" s="103"/>
      <c r="D54" s="126">
        <f>D53*0.07</f>
        <v>0</v>
      </c>
      <c r="E54" s="126">
        <f t="shared" ref="E54:U54" si="52">E53*0.07</f>
        <v>1092</v>
      </c>
      <c r="F54" s="126">
        <f t="shared" si="52"/>
        <v>364.00000000000006</v>
      </c>
      <c r="G54" s="126">
        <f t="shared" si="52"/>
        <v>635.6</v>
      </c>
      <c r="H54" s="126">
        <f t="shared" si="52"/>
        <v>0</v>
      </c>
      <c r="I54" s="126">
        <f t="shared" si="52"/>
        <v>0</v>
      </c>
      <c r="J54" s="126">
        <f t="shared" si="52"/>
        <v>0</v>
      </c>
      <c r="K54" s="126">
        <f t="shared" si="52"/>
        <v>0</v>
      </c>
      <c r="L54" s="126">
        <f t="shared" si="52"/>
        <v>0</v>
      </c>
      <c r="M54" s="126">
        <f t="shared" si="52"/>
        <v>0</v>
      </c>
      <c r="N54" s="126">
        <f t="shared" si="52"/>
        <v>584.5</v>
      </c>
      <c r="O54" s="126">
        <f t="shared" si="52"/>
        <v>0</v>
      </c>
      <c r="P54" s="126">
        <f t="shared" si="52"/>
        <v>0</v>
      </c>
      <c r="Q54" s="126">
        <f t="shared" si="52"/>
        <v>0</v>
      </c>
      <c r="R54" s="126">
        <f t="shared" si="52"/>
        <v>0</v>
      </c>
      <c r="S54" s="126">
        <f t="shared" si="52"/>
        <v>0</v>
      </c>
      <c r="T54" s="126">
        <f t="shared" si="52"/>
        <v>700.00000000000011</v>
      </c>
      <c r="U54" s="126">
        <f t="shared" si="52"/>
        <v>1400.0000000000002</v>
      </c>
      <c r="V54" s="123">
        <f>SUM(D54:U54)</f>
        <v>4776.1000000000004</v>
      </c>
      <c r="W54" s="126"/>
      <c r="X54" s="126">
        <f>X53*0.07</f>
        <v>4872.0000000000009</v>
      </c>
      <c r="Y54" s="126">
        <f t="shared" ref="Y54" si="53">Y53*0.07</f>
        <v>9914.8000000000011</v>
      </c>
      <c r="Z54" s="126">
        <f t="shared" ref="Z54" si="54">Z53*0.07</f>
        <v>7896.0000000000009</v>
      </c>
      <c r="AA54" s="126">
        <f t="shared" ref="AA54" si="55">AA53*0.07</f>
        <v>7321.3000000000011</v>
      </c>
      <c r="AB54" s="126">
        <f t="shared" ref="AB54" si="56">AB53*0.07</f>
        <v>700.00000000000011</v>
      </c>
      <c r="AC54" s="126">
        <f t="shared" ref="AC54" si="57">AC53*0.07</f>
        <v>315.00000000000006</v>
      </c>
      <c r="AD54" s="126">
        <f t="shared" ref="AD54" si="58">AD53*0.07</f>
        <v>0</v>
      </c>
      <c r="AE54" s="126">
        <f t="shared" ref="AE54" si="59">AE53*0.07</f>
        <v>0</v>
      </c>
      <c r="AF54" s="126">
        <f t="shared" ref="AF54" si="60">AF53*0.07</f>
        <v>3202.5000000000005</v>
      </c>
      <c r="AG54" s="126">
        <f t="shared" ref="AG54" si="61">AG53*0.07</f>
        <v>994.00000000000011</v>
      </c>
      <c r="AH54" s="126">
        <f t="shared" ref="AH54" si="62">AH53*0.07</f>
        <v>3808.0000000000005</v>
      </c>
      <c r="AI54" s="126">
        <f t="shared" ref="AI54" si="63">AI53*0.07</f>
        <v>0</v>
      </c>
      <c r="AJ54" s="126">
        <f t="shared" ref="AJ54" si="64">AJ53*0.07</f>
        <v>0</v>
      </c>
      <c r="AK54" s="126">
        <f t="shared" ref="AK54" si="65">AK53*0.07</f>
        <v>0</v>
      </c>
      <c r="AL54" s="126">
        <f t="shared" ref="AL54" si="66">AL53*0.07</f>
        <v>0</v>
      </c>
      <c r="AM54" s="126">
        <f t="shared" ref="AM54" si="67">AM53*0.07</f>
        <v>1190</v>
      </c>
      <c r="AN54" s="126">
        <f t="shared" ref="AN54" si="68">AN53*0.07</f>
        <v>3426.7954000000004</v>
      </c>
      <c r="AO54" s="126">
        <f t="shared" ref="AO54" si="69">AO53*0.07</f>
        <v>27499.500000000004</v>
      </c>
      <c r="AP54" s="126">
        <f t="shared" si="47"/>
        <v>71139.895400000009</v>
      </c>
      <c r="AQ54" s="127">
        <f>AP54+V54</f>
        <v>75915.995400000014</v>
      </c>
    </row>
    <row r="55" spans="1:43" x14ac:dyDescent="0.25">
      <c r="A55" s="110" t="s">
        <v>90</v>
      </c>
      <c r="B55" s="102" t="s">
        <v>94</v>
      </c>
      <c r="C55" s="102"/>
      <c r="D55" s="123">
        <f>D54+D53</f>
        <v>0</v>
      </c>
      <c r="E55" s="123">
        <f t="shared" ref="E55:U55" si="70">E54+E53</f>
        <v>16692</v>
      </c>
      <c r="F55" s="123">
        <f t="shared" si="70"/>
        <v>5564</v>
      </c>
      <c r="G55" s="123">
        <f t="shared" si="70"/>
        <v>9715.6</v>
      </c>
      <c r="H55" s="123">
        <f t="shared" si="70"/>
        <v>0</v>
      </c>
      <c r="I55" s="123">
        <f t="shared" si="70"/>
        <v>0</v>
      </c>
      <c r="J55" s="123">
        <f t="shared" si="70"/>
        <v>0</v>
      </c>
      <c r="K55" s="123">
        <f t="shared" si="70"/>
        <v>0</v>
      </c>
      <c r="L55" s="123">
        <f t="shared" si="70"/>
        <v>0</v>
      </c>
      <c r="M55" s="123">
        <f t="shared" si="70"/>
        <v>0</v>
      </c>
      <c r="N55" s="123">
        <f t="shared" si="70"/>
        <v>8934.5</v>
      </c>
      <c r="O55" s="123">
        <f t="shared" si="70"/>
        <v>0</v>
      </c>
      <c r="P55" s="123">
        <f t="shared" si="70"/>
        <v>0</v>
      </c>
      <c r="Q55" s="123">
        <f t="shared" si="70"/>
        <v>0</v>
      </c>
      <c r="R55" s="123">
        <f t="shared" si="70"/>
        <v>0</v>
      </c>
      <c r="S55" s="123">
        <f t="shared" si="70"/>
        <v>0</v>
      </c>
      <c r="T55" s="123">
        <f t="shared" si="70"/>
        <v>10700</v>
      </c>
      <c r="U55" s="123">
        <f t="shared" si="70"/>
        <v>21400</v>
      </c>
      <c r="V55" s="123">
        <f>SUM(D55:U55)</f>
        <v>73006.100000000006</v>
      </c>
      <c r="W55" s="123"/>
      <c r="X55" s="123">
        <f>X54+X53</f>
        <v>74472</v>
      </c>
      <c r="Y55" s="123">
        <f t="shared" ref="Y55" si="71">Y54+Y53</f>
        <v>151554.79999999999</v>
      </c>
      <c r="Z55" s="123">
        <f t="shared" ref="Z55" si="72">Z54+Z53</f>
        <v>120696</v>
      </c>
      <c r="AA55" s="123">
        <f t="shared" ref="AA55" si="73">AA54+AA53</f>
        <v>111911.3</v>
      </c>
      <c r="AB55" s="123">
        <f t="shared" ref="AB55" si="74">AB54+AB53</f>
        <v>10700</v>
      </c>
      <c r="AC55" s="123">
        <f t="shared" ref="AC55" si="75">AC54+AC53</f>
        <v>4815</v>
      </c>
      <c r="AD55" s="123">
        <f t="shared" ref="AD55" si="76">AD54+AD53</f>
        <v>0</v>
      </c>
      <c r="AE55" s="123">
        <f t="shared" ref="AE55" si="77">AE54+AE53</f>
        <v>0</v>
      </c>
      <c r="AF55" s="123">
        <f t="shared" ref="AF55" si="78">AF54+AF53</f>
        <v>48952.5</v>
      </c>
      <c r="AG55" s="123">
        <f t="shared" ref="AG55" si="79">AG54+AG53</f>
        <v>15194</v>
      </c>
      <c r="AH55" s="123">
        <f t="shared" ref="AH55" si="80">AH54+AH53</f>
        <v>58208</v>
      </c>
      <c r="AI55" s="123">
        <f t="shared" ref="AI55" si="81">AI54+AI53</f>
        <v>0</v>
      </c>
      <c r="AJ55" s="123">
        <f t="shared" ref="AJ55" si="82">AJ54+AJ53</f>
        <v>0</v>
      </c>
      <c r="AK55" s="123">
        <f t="shared" ref="AK55" si="83">AK54+AK53</f>
        <v>0</v>
      </c>
      <c r="AL55" s="123">
        <f t="shared" ref="AL55" si="84">AL54+AL53</f>
        <v>0</v>
      </c>
      <c r="AM55" s="123">
        <f t="shared" ref="AM55" si="85">AM54+AM53</f>
        <v>18190</v>
      </c>
      <c r="AN55" s="123">
        <f t="shared" ref="AN55" si="86">AN54+AN53</f>
        <v>52381.015400000004</v>
      </c>
      <c r="AO55" s="123">
        <f t="shared" ref="AO55" si="87">AO54+AO53</f>
        <v>420349.5</v>
      </c>
      <c r="AP55" s="123">
        <f t="shared" si="47"/>
        <v>1087424.1154</v>
      </c>
      <c r="AQ55" s="124">
        <f>AP55+V55</f>
        <v>1160430.2154000001</v>
      </c>
    </row>
    <row r="59" spans="1:43" x14ac:dyDescent="0.25">
      <c r="A59" t="s">
        <v>135</v>
      </c>
      <c r="V59" s="296">
        <f>V53+AP53</f>
        <v>1084514.22</v>
      </c>
    </row>
    <row r="61" spans="1:43" x14ac:dyDescent="0.25">
      <c r="A61" s="118" t="s">
        <v>103</v>
      </c>
      <c r="B61" s="128">
        <v>2067350.21</v>
      </c>
    </row>
    <row r="62" spans="1:43" x14ac:dyDescent="0.25">
      <c r="A62" s="118" t="s">
        <v>104</v>
      </c>
      <c r="B62" s="128">
        <v>906920</v>
      </c>
    </row>
    <row r="63" spans="1:43" x14ac:dyDescent="0.25">
      <c r="A63" s="118" t="s">
        <v>105</v>
      </c>
      <c r="B63" s="128">
        <f>B62</f>
        <v>906920</v>
      </c>
    </row>
    <row r="64" spans="1:43" x14ac:dyDescent="0.25">
      <c r="A64" s="118" t="s">
        <v>118</v>
      </c>
      <c r="B64" s="128">
        <f>B61-B62</f>
        <v>1160430.21</v>
      </c>
    </row>
    <row r="65" spans="1:2" x14ac:dyDescent="0.25">
      <c r="B65" s="101"/>
    </row>
    <row r="66" spans="1:2" x14ac:dyDescent="0.25">
      <c r="A66" s="118" t="s">
        <v>119</v>
      </c>
      <c r="B66" s="130">
        <f>B64*100/107</f>
        <v>1084514.214953271</v>
      </c>
    </row>
    <row r="67" spans="1:2" x14ac:dyDescent="0.25">
      <c r="A67" s="118" t="s">
        <v>120</v>
      </c>
      <c r="B67" s="130">
        <f>B66*0.07</f>
        <v>75915.995046728975</v>
      </c>
    </row>
    <row r="68" spans="1:2" x14ac:dyDescent="0.25">
      <c r="A68" s="129" t="s">
        <v>127</v>
      </c>
      <c r="B68" s="130">
        <f>B66+B67</f>
        <v>1160430.21</v>
      </c>
    </row>
    <row r="69" spans="1:2" x14ac:dyDescent="0.25">
      <c r="B69" s="101"/>
    </row>
    <row r="70" spans="1:2" x14ac:dyDescent="0.25">
      <c r="B70" s="101"/>
    </row>
    <row r="71" spans="1:2" x14ac:dyDescent="0.25">
      <c r="A71" s="117" t="s">
        <v>121</v>
      </c>
      <c r="B71" s="130">
        <f>V55</f>
        <v>73006.100000000006</v>
      </c>
    </row>
    <row r="72" spans="1:2" x14ac:dyDescent="0.25">
      <c r="A72" s="117" t="s">
        <v>122</v>
      </c>
      <c r="B72" s="130">
        <f>AP55</f>
        <v>1087424.1154</v>
      </c>
    </row>
    <row r="73" spans="1:2" x14ac:dyDescent="0.25">
      <c r="A73" s="117" t="s">
        <v>89</v>
      </c>
      <c r="B73" s="130">
        <f>B72+B71</f>
        <v>1160430.2154000001</v>
      </c>
    </row>
    <row r="74" spans="1:2" x14ac:dyDescent="0.25">
      <c r="A74" t="s">
        <v>123</v>
      </c>
      <c r="B74" s="131">
        <f>B64-B73</f>
        <v>-5.4000001400709152E-3</v>
      </c>
    </row>
    <row r="79" spans="1:2" x14ac:dyDescent="0.25">
      <c r="A79">
        <v>1.07</v>
      </c>
      <c r="B79" s="296">
        <f>B74</f>
        <v>-5.4000001400709152E-3</v>
      </c>
    </row>
    <row r="80" spans="1:2" x14ac:dyDescent="0.25">
      <c r="A80">
        <v>1</v>
      </c>
      <c r="B80" s="296">
        <f>B79/A79</f>
        <v>-5.0467291028700135E-3</v>
      </c>
    </row>
  </sheetData>
  <mergeCells count="11">
    <mergeCell ref="A3:A4"/>
    <mergeCell ref="B3:B4"/>
    <mergeCell ref="A5:B5"/>
    <mergeCell ref="A53:B53"/>
    <mergeCell ref="A47:B47"/>
    <mergeCell ref="A48:B48"/>
    <mergeCell ref="A30:B30"/>
    <mergeCell ref="A6:B6"/>
    <mergeCell ref="A8:B8"/>
    <mergeCell ref="A21:B21"/>
    <mergeCell ref="A25:B25"/>
  </mergeCells>
  <pageMargins left="0.7" right="0.7" top="0.75" bottom="0.75" header="0.3" footer="0.3"/>
  <pageSetup fitToHeight="0" orientation="landscape" r:id="rId1"/>
  <ignoredErrors>
    <ignoredError sqref="AO18 AA18"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Marco de Resultados</vt:lpstr>
      <vt:lpstr>Presupuesto</vt:lpstr>
      <vt:lpstr>AWP </vt:lpstr>
      <vt:lpstr>Resumen</vt:lpstr>
      <vt:lpstr>PNUD</vt:lpstr>
      <vt:lpstr>'Marco de Resultados'!Print_Area</vt:lpstr>
      <vt:lpstr>PNUD!Print_Area</vt:lpstr>
      <vt:lpstr>Resumen!Print_Area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NARCISO ARENAS</dc:creator>
  <cp:lastModifiedBy>Clea PAZ</cp:lastModifiedBy>
  <cp:lastPrinted>2013-11-05T23:12:16Z</cp:lastPrinted>
  <dcterms:created xsi:type="dcterms:W3CDTF">2013-09-04T14:44:10Z</dcterms:created>
  <dcterms:modified xsi:type="dcterms:W3CDTF">2013-11-28T21:06:38Z</dcterms:modified>
</cp:coreProperties>
</file>